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725" windowWidth="13020" windowHeight="8355" tabRatio="834"/>
  </bookViews>
  <sheets>
    <sheet name="C.THANH MN" sheetId="16" r:id="rId1"/>
    <sheet name="KIM CHÂU" sheetId="20" r:id="rId2"/>
    <sheet name="M. TRÍ CM" sheetId="21" r:id="rId3"/>
    <sheet name="HUNAM - 2017" sheetId="11" r:id="rId4"/>
    <sheet name="HUNAM - CT-2017" sheetId="12" r:id="rId5"/>
    <sheet name="TD-TQ 2016" sheetId="1" r:id="rId6"/>
    <sheet name="CT-2016" sheetId="5" r:id="rId7"/>
    <sheet name="GC - TQ 2016" sheetId="2" r:id="rId8"/>
    <sheet name="BSHĐ - 2016" sheetId="6" r:id="rId9"/>
    <sheet name="ZHOUSHAN - 2017" sheetId="8" r:id="rId10"/>
    <sheet name="ZHOUSHAN - CT-2017" sheetId="9" r:id="rId11"/>
    <sheet name="HUNAM (MB) - 2018" sheetId="18" r:id="rId12"/>
    <sheet name="HUNAM (MB) - CT-2018" sheetId="19" r:id="rId13"/>
    <sheet name="BSHĐ - 2017" sheetId="10" r:id="rId14"/>
    <sheet name="CP-TQ" sheetId="14" r:id="rId15"/>
    <sheet name="Sheet1" sheetId="15" r:id="rId16"/>
    <sheet name="ZHOUSHAN - CT-2017 (2)" sheetId="17" r:id="rId17"/>
  </sheets>
  <definedNames>
    <definedName name="_Fill" localSheetId="13" hidden="1">#REF!</definedName>
    <definedName name="_Fill" localSheetId="0" hidden="1">#REF!</definedName>
    <definedName name="_Fill" localSheetId="14" hidden="1">#REF!</definedName>
    <definedName name="_Fill" localSheetId="6" hidden="1">#REF!</definedName>
    <definedName name="_Fill" localSheetId="7" hidden="1">#REF!</definedName>
    <definedName name="_Fill" localSheetId="3" hidden="1">#REF!</definedName>
    <definedName name="_Fill" localSheetId="4" hidden="1">#REF!</definedName>
    <definedName name="_Fill" localSheetId="11" hidden="1">#REF!</definedName>
    <definedName name="_Fill" localSheetId="12" hidden="1">#REF!</definedName>
    <definedName name="_Fill" localSheetId="1" hidden="1">#REF!</definedName>
    <definedName name="_Fill" localSheetId="2" hidden="1">#REF!</definedName>
    <definedName name="_Fill" localSheetId="9" hidden="1">#REF!</definedName>
    <definedName name="_Fill" localSheetId="10" hidden="1">#REF!</definedName>
    <definedName name="_Fill" localSheetId="16" hidden="1">#REF!</definedName>
    <definedName name="_Fill" hidden="1">#REF!</definedName>
    <definedName name="_xlnm._FilterDatabase" localSheetId="3" hidden="1">'HUNAM - 2017'!$A$3:$T$68</definedName>
    <definedName name="_xlnm._FilterDatabase" localSheetId="11" hidden="1">'HUNAM (MB) - 2018'!$A$3:$R$17</definedName>
    <definedName name="_xlnm._FilterDatabase" localSheetId="9" hidden="1">'ZHOUSHAN - 2017'!$A$3:$V$216</definedName>
    <definedName name="_xlnm._FilterDatabase" localSheetId="10" hidden="1">'ZHOUSHAN - CT-2017'!$A$287:$T$297</definedName>
    <definedName name="_xlnm._FilterDatabase" localSheetId="16" hidden="1">'ZHOUSHAN - CT-2017 (2)'!$A$2:$P$23</definedName>
    <definedName name="_xlnm.Print_Area" localSheetId="8">'BSHĐ - 2016'!$A$67:$I$89</definedName>
    <definedName name="_xlnm.Print_Area" localSheetId="13">'BSHĐ - 2017'!$A$174:$J$198</definedName>
    <definedName name="_xlnm.Print_Area" localSheetId="0">'C.THANH MN'!$B$14:$L$68</definedName>
    <definedName name="_xlnm.Print_Area" localSheetId="6">'CT-2016'!$A$522:$E$535</definedName>
    <definedName name="_xlnm.Print_Area" localSheetId="4">'HUNAM - CT-2017'!$A$211:$R$252</definedName>
    <definedName name="_xlnm.Print_Area" localSheetId="11">'HUNAM (MB) - 2018'!$A$2:$G$19</definedName>
    <definedName name="_xlnm.Print_Area" localSheetId="12">'HUNAM (MB) - CT-2018'!$A$2:$O$27</definedName>
    <definedName name="_xlnm.Print_Area" localSheetId="1">'KIM CHÂU'!#REF!</definedName>
    <definedName name="_xlnm.Print_Area" localSheetId="2">'M. TRÍ CM'!#REF!</definedName>
    <definedName name="_xlnm.Print_Area" localSheetId="15">Sheet1!$A$1:$G$22</definedName>
    <definedName name="_xlnm.Print_Area" localSheetId="9">'ZHOUSHAN - 2017'!$B$193:$K$204</definedName>
    <definedName name="_xlnm.Print_Area" localSheetId="10">'ZHOUSHAN - CT-2017'!$A$746:$G$757</definedName>
    <definedName name="_xlnm.Print_Area" localSheetId="16">'ZHOUSHAN - CT-2017 (2)'!#REF!</definedName>
    <definedName name="_xlnm.Print_Titles" localSheetId="3">'HUNAM - 2017'!$2:$3</definedName>
    <definedName name="_xlnm.Print_Titles" localSheetId="11">'HUNAM (MB) - 2018'!$2:$3</definedName>
    <definedName name="_xlnm.Print_Titles" localSheetId="5">'TD-TQ 2016'!$17:$18</definedName>
    <definedName name="_xlnm.Print_Titles" localSheetId="9">'ZHOUSHAN - 2017'!$2:$3</definedName>
  </definedNames>
  <calcPr calcId="144525"/>
</workbook>
</file>

<file path=xl/calcChain.xml><?xml version="1.0" encoding="utf-8"?>
<calcChain xmlns="http://schemas.openxmlformats.org/spreadsheetml/2006/main">
  <c r="V50" i="16" l="1"/>
  <c r="L63" i="16"/>
  <c r="L62" i="16"/>
  <c r="L61" i="16"/>
  <c r="L60" i="16"/>
  <c r="L59" i="16"/>
  <c r="L58" i="16"/>
  <c r="L57" i="16"/>
  <c r="L55" i="16"/>
  <c r="T17" i="16"/>
  <c r="V17" i="16" s="1"/>
  <c r="T18" i="16"/>
  <c r="V18" i="16" s="1"/>
  <c r="T19" i="16"/>
  <c r="V19" i="16" s="1"/>
  <c r="T20" i="16"/>
  <c r="V20" i="16" s="1"/>
  <c r="L65" i="16" l="1"/>
  <c r="T21" i="16"/>
  <c r="V21" i="16" s="1"/>
  <c r="T22" i="16"/>
  <c r="V22" i="16" s="1"/>
  <c r="T23" i="16"/>
  <c r="V23" i="16" s="1"/>
  <c r="T24" i="16"/>
  <c r="V24" i="16" s="1"/>
  <c r="T25" i="16"/>
  <c r="V25" i="16" s="1"/>
  <c r="T26" i="16"/>
  <c r="V26" i="16" s="1"/>
  <c r="T27" i="16"/>
  <c r="V27" i="16" s="1"/>
  <c r="T28" i="16"/>
  <c r="V28" i="16" s="1"/>
  <c r="T29" i="16"/>
  <c r="V29" i="16" s="1"/>
  <c r="T30" i="16"/>
  <c r="V30" i="16" s="1"/>
  <c r="T31" i="16"/>
  <c r="V31" i="16" s="1"/>
  <c r="T32" i="16"/>
  <c r="V32" i="16" s="1"/>
  <c r="T33" i="16"/>
  <c r="V33" i="16" s="1"/>
  <c r="T34" i="16"/>
  <c r="V34" i="16" s="1"/>
  <c r="T35" i="16"/>
  <c r="V35" i="16" s="1"/>
  <c r="T36" i="16"/>
  <c r="V36" i="16" s="1"/>
  <c r="T37" i="16"/>
  <c r="V37" i="16" s="1"/>
  <c r="V40" i="16" l="1"/>
  <c r="R40" i="16"/>
  <c r="F223" i="12"/>
  <c r="R38" i="16"/>
  <c r="T38" i="16" s="1"/>
  <c r="V38" i="16" s="1"/>
  <c r="F222" i="12" l="1"/>
  <c r="F225" i="12"/>
  <c r="F224" i="12"/>
  <c r="F221" i="12"/>
  <c r="M233" i="12"/>
  <c r="Q233" i="12" s="1"/>
  <c r="O233" i="12"/>
  <c r="P233" i="12"/>
  <c r="M234" i="12"/>
  <c r="Q234" i="12" s="1"/>
  <c r="O234" i="12"/>
  <c r="P234" i="12"/>
  <c r="M235" i="12"/>
  <c r="Q235" i="12" s="1"/>
  <c r="R235" i="12" s="1"/>
  <c r="O235" i="12"/>
  <c r="P235" i="12"/>
  <c r="M236" i="12"/>
  <c r="Q236" i="12" s="1"/>
  <c r="R236" i="12" s="1"/>
  <c r="O236" i="12"/>
  <c r="P236" i="12"/>
  <c r="M237" i="12"/>
  <c r="Q237" i="12" s="1"/>
  <c r="O237" i="12"/>
  <c r="P237" i="12"/>
  <c r="M238" i="12"/>
  <c r="Q238" i="12" s="1"/>
  <c r="O238" i="12"/>
  <c r="P238" i="12"/>
  <c r="M239" i="12"/>
  <c r="Q239" i="12" s="1"/>
  <c r="O239" i="12"/>
  <c r="P239" i="12"/>
  <c r="M240" i="12"/>
  <c r="Q240" i="12" s="1"/>
  <c r="R240" i="12" s="1"/>
  <c r="O240" i="12"/>
  <c r="P240" i="12"/>
  <c r="M241" i="12"/>
  <c r="Q241" i="12" s="1"/>
  <c r="O241" i="12"/>
  <c r="P241" i="12"/>
  <c r="N243" i="12"/>
  <c r="P232" i="12"/>
  <c r="O232" i="12"/>
  <c r="M232" i="12"/>
  <c r="P231" i="12"/>
  <c r="O231" i="12"/>
  <c r="M231" i="12"/>
  <c r="Q231" i="12" s="1"/>
  <c r="P230" i="12"/>
  <c r="O230" i="12"/>
  <c r="M230" i="12"/>
  <c r="Q230" i="12" s="1"/>
  <c r="P229" i="12"/>
  <c r="O229" i="12"/>
  <c r="M229" i="12"/>
  <c r="Q229" i="12" s="1"/>
  <c r="P228" i="12"/>
  <c r="O228" i="12"/>
  <c r="M228" i="12"/>
  <c r="Q228" i="12" s="1"/>
  <c r="F232" i="12"/>
  <c r="F229" i="12"/>
  <c r="M216" i="12"/>
  <c r="Q216" i="12" s="1"/>
  <c r="O216" i="12"/>
  <c r="P216" i="12"/>
  <c r="M217" i="12"/>
  <c r="Q217" i="12" s="1"/>
  <c r="O217" i="12"/>
  <c r="P217" i="12"/>
  <c r="M218" i="12"/>
  <c r="Q218" i="12" s="1"/>
  <c r="O218" i="12"/>
  <c r="P218" i="12"/>
  <c r="M219" i="12"/>
  <c r="Q219" i="12" s="1"/>
  <c r="O219" i="12"/>
  <c r="P219" i="12"/>
  <c r="N221" i="12"/>
  <c r="P215" i="12"/>
  <c r="O215" i="12"/>
  <c r="M215" i="12"/>
  <c r="Q215" i="12" s="1"/>
  <c r="P214" i="12"/>
  <c r="O214" i="12"/>
  <c r="M214" i="12"/>
  <c r="Q214" i="12" s="1"/>
  <c r="F220" i="12"/>
  <c r="F61" i="11"/>
  <c r="G239" i="12"/>
  <c r="E218" i="12"/>
  <c r="M52" i="11"/>
  <c r="R237" i="12" l="1"/>
  <c r="R234" i="12"/>
  <c r="R233" i="12"/>
  <c r="R239" i="12"/>
  <c r="R238" i="12"/>
  <c r="R241" i="12"/>
  <c r="O243" i="12"/>
  <c r="M244" i="12" s="1"/>
  <c r="R229" i="12"/>
  <c r="R230" i="12"/>
  <c r="R231" i="12"/>
  <c r="P243" i="12"/>
  <c r="R228" i="12"/>
  <c r="Q232" i="12"/>
  <c r="R232" i="12" s="1"/>
  <c r="R219" i="12"/>
  <c r="R218" i="12"/>
  <c r="R217" i="12"/>
  <c r="R216" i="12"/>
  <c r="O221" i="12"/>
  <c r="M222" i="12" s="1"/>
  <c r="R215" i="12"/>
  <c r="P221" i="12"/>
  <c r="R214" i="12"/>
  <c r="F231" i="12"/>
  <c r="F230" i="12"/>
  <c r="F59" i="11"/>
  <c r="G60" i="11"/>
  <c r="F60" i="11"/>
  <c r="R243" i="12" l="1"/>
  <c r="R221" i="12"/>
  <c r="I32" i="21"/>
  <c r="E24" i="21"/>
  <c r="G23" i="21"/>
  <c r="I22" i="21"/>
  <c r="G22" i="21"/>
  <c r="G21" i="21"/>
  <c r="I21" i="21" s="1"/>
  <c r="I20" i="21"/>
  <c r="G20" i="21"/>
  <c r="G19" i="21"/>
  <c r="I19" i="21" s="1"/>
  <c r="I18" i="21"/>
  <c r="G18" i="21"/>
  <c r="G17" i="21"/>
  <c r="I17" i="21" s="1"/>
  <c r="I16" i="21"/>
  <c r="G16" i="21"/>
  <c r="G15" i="21"/>
  <c r="I15" i="21" s="1"/>
  <c r="I14" i="21"/>
  <c r="G14" i="21"/>
  <c r="G13" i="21"/>
  <c r="I13" i="21" s="1"/>
  <c r="I12" i="21"/>
  <c r="G12" i="21"/>
  <c r="G11" i="21"/>
  <c r="I11" i="21" s="1"/>
  <c r="I10" i="21"/>
  <c r="G10" i="21"/>
  <c r="G9" i="21"/>
  <c r="I9" i="21" s="1"/>
  <c r="I8" i="21"/>
  <c r="G8" i="21"/>
  <c r="G7" i="21"/>
  <c r="I7" i="21" s="1"/>
  <c r="I6" i="21"/>
  <c r="G6" i="21"/>
  <c r="I5" i="21"/>
  <c r="G24" i="21" l="1"/>
  <c r="I4" i="21"/>
  <c r="I24" i="21" s="1"/>
  <c r="I34" i="21" s="1"/>
  <c r="F228" i="12"/>
  <c r="F227" i="12"/>
  <c r="F226" i="12"/>
  <c r="F57" i="11"/>
  <c r="G57" i="11" s="1"/>
  <c r="I57" i="11" s="1"/>
  <c r="F56" i="11"/>
  <c r="G58" i="11"/>
  <c r="I58" i="11" s="1"/>
  <c r="G53" i="11"/>
  <c r="I53" i="11" s="1"/>
  <c r="I32" i="20" l="1"/>
  <c r="E24" i="20"/>
  <c r="G23" i="20"/>
  <c r="G22" i="20"/>
  <c r="I22" i="20" s="1"/>
  <c r="G21" i="20"/>
  <c r="I21" i="20" s="1"/>
  <c r="G20" i="20"/>
  <c r="I20" i="20" s="1"/>
  <c r="G19" i="20"/>
  <c r="I19" i="20" s="1"/>
  <c r="G18" i="20"/>
  <c r="I18" i="20" s="1"/>
  <c r="G17" i="20"/>
  <c r="I17" i="20" s="1"/>
  <c r="G16" i="20"/>
  <c r="I16" i="20" s="1"/>
  <c r="G15" i="20"/>
  <c r="I15" i="20" s="1"/>
  <c r="G14" i="20"/>
  <c r="I14" i="20" s="1"/>
  <c r="G13" i="20"/>
  <c r="I13" i="20" s="1"/>
  <c r="G12" i="20"/>
  <c r="I12" i="20" s="1"/>
  <c r="G11" i="20"/>
  <c r="I11" i="20" s="1"/>
  <c r="G10" i="20"/>
  <c r="I10" i="20" s="1"/>
  <c r="G9" i="20"/>
  <c r="I9" i="20" s="1"/>
  <c r="G8" i="20"/>
  <c r="I8" i="20" s="1"/>
  <c r="G7" i="20"/>
  <c r="I7" i="20" s="1"/>
  <c r="G6" i="20"/>
  <c r="I6" i="20" s="1"/>
  <c r="G5" i="20"/>
  <c r="I5" i="20" s="1"/>
  <c r="G4" i="20"/>
  <c r="I4" i="20" s="1"/>
  <c r="G24" i="20" l="1"/>
  <c r="I24" i="20"/>
  <c r="I34" i="20" s="1"/>
  <c r="T39" i="16" l="1"/>
  <c r="T40" i="16" l="1"/>
  <c r="G63" i="11"/>
  <c r="I63" i="11" s="1"/>
  <c r="G62" i="11"/>
  <c r="I62" i="11" s="1"/>
  <c r="G61" i="11"/>
  <c r="I61" i="11" s="1"/>
  <c r="I60" i="11"/>
  <c r="G59" i="11"/>
  <c r="I59" i="11" s="1"/>
  <c r="F246" i="12"/>
  <c r="C239" i="12"/>
  <c r="C242" i="12" s="1"/>
  <c r="F217" i="12"/>
  <c r="E216" i="12"/>
  <c r="E215" i="12"/>
  <c r="E214" i="12"/>
  <c r="E239" i="12" l="1"/>
  <c r="F242" i="12" s="1"/>
  <c r="O9" i="19"/>
  <c r="M10" i="19"/>
  <c r="O10" i="19" s="1"/>
  <c r="M9" i="19"/>
  <c r="M8" i="19"/>
  <c r="O8" i="19" s="1"/>
  <c r="M7" i="19"/>
  <c r="O7" i="19" s="1"/>
  <c r="O6" i="19"/>
  <c r="E27" i="19"/>
  <c r="O5" i="19"/>
  <c r="O4" i="19"/>
  <c r="M12" i="19" l="1"/>
  <c r="O12" i="19"/>
  <c r="F19" i="19" s="1"/>
  <c r="N4" i="18" l="1"/>
  <c r="K4" i="18"/>
  <c r="F189" i="12" l="1"/>
  <c r="F190" i="12"/>
  <c r="F184" i="12"/>
  <c r="F8" i="19" l="1"/>
  <c r="F183" i="12" l="1"/>
  <c r="F185" i="12" l="1"/>
  <c r="E182" i="12" l="1"/>
  <c r="F188" i="12" l="1"/>
  <c r="F6" i="19" l="1"/>
  <c r="F7" i="19"/>
  <c r="G12" i="19"/>
  <c r="F21" i="19" s="1"/>
  <c r="C12" i="19"/>
  <c r="C15" i="19" s="1"/>
  <c r="E4" i="19"/>
  <c r="Q19" i="18"/>
  <c r="P19" i="18"/>
  <c r="D19" i="18"/>
  <c r="E17" i="18"/>
  <c r="G17" i="18" s="1"/>
  <c r="E16" i="18"/>
  <c r="G16" i="18" s="1"/>
  <c r="E15" i="18"/>
  <c r="G15" i="18" s="1"/>
  <c r="E14" i="18"/>
  <c r="G14" i="18" s="1"/>
  <c r="E13" i="18"/>
  <c r="G13" i="18" s="1"/>
  <c r="E12" i="18"/>
  <c r="G12" i="18" s="1"/>
  <c r="E11" i="18"/>
  <c r="G11" i="18" s="1"/>
  <c r="E10" i="18"/>
  <c r="G10" i="18" s="1"/>
  <c r="G9" i="18"/>
  <c r="G8" i="18"/>
  <c r="G7" i="18"/>
  <c r="G6" i="18"/>
  <c r="G5" i="18"/>
  <c r="G4" i="18"/>
  <c r="I19" i="18"/>
  <c r="H19" i="18"/>
  <c r="E12" i="19" l="1"/>
  <c r="F15" i="19" s="1"/>
  <c r="E19" i="18"/>
  <c r="L19" i="18"/>
  <c r="N19" i="18"/>
  <c r="E181" i="12"/>
  <c r="F12" i="19" l="1"/>
  <c r="F17" i="19" s="1"/>
  <c r="F24" i="19" s="1"/>
  <c r="G19" i="18"/>
  <c r="L21" i="18" s="1"/>
  <c r="K19" i="18"/>
  <c r="G754" i="9" l="1"/>
  <c r="F754" i="9"/>
  <c r="C754" i="9"/>
  <c r="E749" i="9"/>
  <c r="E754" i="9" s="1"/>
  <c r="E518" i="9"/>
  <c r="M518" i="9"/>
  <c r="N518" i="9" s="1"/>
  <c r="P518" i="9"/>
  <c r="Q518" i="9"/>
  <c r="M519" i="9"/>
  <c r="N519" i="9" s="1"/>
  <c r="P519" i="9"/>
  <c r="Q519" i="9"/>
  <c r="R519" i="9"/>
  <c r="F520" i="9"/>
  <c r="M520" i="9"/>
  <c r="N520" i="9"/>
  <c r="P520" i="9"/>
  <c r="Q520" i="9"/>
  <c r="R520" i="9"/>
  <c r="M521" i="9"/>
  <c r="N521" i="9" s="1"/>
  <c r="P521" i="9"/>
  <c r="Q521" i="9"/>
  <c r="R518" i="9" l="1"/>
  <c r="S518" i="9" s="1"/>
  <c r="S520" i="9"/>
  <c r="S519" i="9"/>
  <c r="G756" i="9"/>
  <c r="R521" i="9"/>
  <c r="S521" i="9"/>
  <c r="G44" i="11"/>
  <c r="I44" i="11" s="1"/>
  <c r="N44" i="11" s="1"/>
  <c r="F187" i="12"/>
  <c r="F186" i="12"/>
  <c r="G5" i="17" l="1"/>
  <c r="G24" i="17"/>
  <c r="E24" i="17"/>
  <c r="C24" i="17"/>
  <c r="C5" i="17"/>
  <c r="G195" i="12" l="1"/>
  <c r="F202" i="12" s="1"/>
  <c r="C195" i="12"/>
  <c r="C198" i="12" s="1"/>
  <c r="E180" i="12"/>
  <c r="E195" i="12" s="1"/>
  <c r="F198" i="12" s="1"/>
  <c r="F195" i="12" l="1"/>
  <c r="F200" i="12" s="1"/>
  <c r="F205" i="12" s="1"/>
  <c r="F219" i="12" s="1"/>
  <c r="F239" i="12" l="1"/>
  <c r="F244" i="12" s="1"/>
  <c r="F249" i="12" s="1"/>
  <c r="G738" i="9"/>
  <c r="F738" i="9"/>
  <c r="C738" i="9"/>
  <c r="E734" i="9"/>
  <c r="E738" i="9" s="1"/>
  <c r="R199" i="8"/>
  <c r="P199" i="8"/>
  <c r="N199" i="8"/>
  <c r="G741" i="9" l="1"/>
  <c r="F160" i="12"/>
  <c r="F164" i="12" s="1"/>
  <c r="F169" i="12" s="1"/>
  <c r="G164" i="12"/>
  <c r="F171" i="12" s="1"/>
  <c r="E159" i="12"/>
  <c r="E164" i="12" s="1"/>
  <c r="F167" i="12" s="1"/>
  <c r="F174" i="12" l="1"/>
  <c r="C164" i="12"/>
  <c r="C167" i="12" s="1"/>
  <c r="F722" i="9"/>
  <c r="F720" i="9"/>
  <c r="E721" i="9"/>
  <c r="E719" i="9"/>
  <c r="G727" i="9"/>
  <c r="C727" i="9"/>
  <c r="R197" i="8"/>
  <c r="P197" i="8"/>
  <c r="M197" i="8"/>
  <c r="R193" i="8"/>
  <c r="P193" i="8"/>
  <c r="N193" i="8"/>
  <c r="E727" i="9" l="1"/>
  <c r="F727" i="9"/>
  <c r="G730" i="9" s="1"/>
  <c r="F136" i="12"/>
  <c r="F132" i="12"/>
  <c r="E131" i="12"/>
  <c r="L42" i="16" l="1"/>
  <c r="L41" i="16"/>
  <c r="H23" i="16"/>
  <c r="J23" i="16" s="1"/>
  <c r="G23" i="16"/>
  <c r="H21" i="16"/>
  <c r="J21" i="16" s="1"/>
  <c r="I21" i="16"/>
  <c r="G21" i="16"/>
  <c r="K21" i="16" s="1"/>
  <c r="G32" i="16"/>
  <c r="J32" i="16"/>
  <c r="I32" i="16"/>
  <c r="H26" i="16"/>
  <c r="H17" i="16" s="1"/>
  <c r="J25" i="16"/>
  <c r="I25" i="16"/>
  <c r="G25" i="16"/>
  <c r="K25" i="16" s="1"/>
  <c r="G26" i="16"/>
  <c r="I19" i="16"/>
  <c r="I20" i="16"/>
  <c r="I22" i="16"/>
  <c r="I27" i="16"/>
  <c r="I28" i="16"/>
  <c r="I29" i="16"/>
  <c r="I30" i="16"/>
  <c r="I31" i="16"/>
  <c r="I33" i="16"/>
  <c r="I34" i="16"/>
  <c r="I35" i="16"/>
  <c r="J18" i="16"/>
  <c r="I18" i="16"/>
  <c r="G18" i="16"/>
  <c r="J26" i="16" l="1"/>
  <c r="I26" i="16"/>
  <c r="I23" i="16"/>
  <c r="H24" i="16"/>
  <c r="I24" i="16" s="1"/>
  <c r="L21" i="16"/>
  <c r="K23" i="16"/>
  <c r="L23" i="16" s="1"/>
  <c r="K32" i="16"/>
  <c r="L32" i="16" s="1"/>
  <c r="L25" i="16"/>
  <c r="K26" i="16"/>
  <c r="L26" i="16" s="1"/>
  <c r="K18" i="16"/>
  <c r="L18" i="16" s="1"/>
  <c r="G711" i="9"/>
  <c r="C711" i="9"/>
  <c r="F706" i="9"/>
  <c r="F711" i="9" s="1"/>
  <c r="E705" i="9"/>
  <c r="E711" i="9" s="1"/>
  <c r="R185" i="8"/>
  <c r="P185" i="8"/>
  <c r="N185" i="8"/>
  <c r="G714" i="9" l="1"/>
  <c r="F134" i="12"/>
  <c r="F133" i="12"/>
  <c r="G51" i="11"/>
  <c r="I51" i="11" s="1"/>
  <c r="G50" i="11"/>
  <c r="I50" i="11" s="1"/>
  <c r="G47" i="11"/>
  <c r="I47" i="11" s="1"/>
  <c r="G46" i="11"/>
  <c r="I46" i="11" s="1"/>
  <c r="G45" i="11"/>
  <c r="I45" i="11" s="1"/>
  <c r="G55" i="11"/>
  <c r="I55" i="11" s="1"/>
  <c r="G54" i="11"/>
  <c r="I54" i="11" s="1"/>
  <c r="G52" i="11"/>
  <c r="I52" i="11" s="1"/>
  <c r="G49" i="11"/>
  <c r="I49" i="11" s="1"/>
  <c r="G48" i="11"/>
  <c r="I48" i="11" s="1"/>
  <c r="C130" i="12"/>
  <c r="E130" i="12" s="1"/>
  <c r="N45" i="11" l="1"/>
  <c r="N50" i="11"/>
  <c r="G39" i="11"/>
  <c r="I39" i="11" s="1"/>
  <c r="G38" i="11"/>
  <c r="I38" i="11" l="1"/>
  <c r="K203" i="8"/>
  <c r="K197" i="8"/>
  <c r="F690" i="9" l="1"/>
  <c r="E688" i="9"/>
  <c r="E697" i="9" s="1"/>
  <c r="F689" i="9"/>
  <c r="C697" i="9"/>
  <c r="G697" i="9"/>
  <c r="F697" i="9" l="1"/>
  <c r="G700" i="9"/>
  <c r="F135" i="12" l="1"/>
  <c r="F143" i="12" s="1"/>
  <c r="E129" i="12" l="1"/>
  <c r="G143" i="12"/>
  <c r="F150" i="12" s="1"/>
  <c r="C143" i="12"/>
  <c r="C146" i="12" s="1"/>
  <c r="E128" i="12"/>
  <c r="K34" i="11"/>
  <c r="J34" i="11"/>
  <c r="E143" i="12" l="1"/>
  <c r="F146" i="12" s="1"/>
  <c r="F148" i="12"/>
  <c r="F153" i="12" s="1"/>
  <c r="J20" i="16" l="1"/>
  <c r="G20" i="16"/>
  <c r="K20" i="16" s="1"/>
  <c r="J19" i="16"/>
  <c r="G19" i="16"/>
  <c r="J34" i="16"/>
  <c r="G34" i="16"/>
  <c r="K34" i="16" s="1"/>
  <c r="J22" i="16"/>
  <c r="G22" i="16"/>
  <c r="K22" i="16" s="1"/>
  <c r="J35" i="16"/>
  <c r="G35" i="16"/>
  <c r="K35" i="16" s="1"/>
  <c r="L20" i="16" l="1"/>
  <c r="K19" i="16"/>
  <c r="L19" i="16" s="1"/>
  <c r="L34" i="16"/>
  <c r="L22" i="16"/>
  <c r="L35" i="16"/>
  <c r="F675" i="9"/>
  <c r="F681" i="9" s="1"/>
  <c r="G681" i="9"/>
  <c r="C681" i="9"/>
  <c r="E674" i="9"/>
  <c r="E681" i="9" s="1"/>
  <c r="G684" i="9" l="1"/>
  <c r="P34" i="11"/>
  <c r="K191" i="8"/>
  <c r="F659" i="9"/>
  <c r="F660" i="9"/>
  <c r="G665" i="9"/>
  <c r="C665" i="9"/>
  <c r="E658" i="9"/>
  <c r="E665" i="9" s="1"/>
  <c r="F665" i="9" l="1"/>
  <c r="G668" i="9" s="1"/>
  <c r="G37" i="11" l="1"/>
  <c r="I37" i="11" s="1"/>
  <c r="G36" i="11"/>
  <c r="G35" i="11"/>
  <c r="I35" i="11" s="1"/>
  <c r="G34" i="11"/>
  <c r="I34" i="11" s="1"/>
  <c r="M34" i="11" s="1"/>
  <c r="G43" i="11"/>
  <c r="I43" i="11" s="1"/>
  <c r="G42" i="11"/>
  <c r="G41" i="11"/>
  <c r="G40" i="11"/>
  <c r="G66" i="11"/>
  <c r="I66" i="11" s="1"/>
  <c r="G65" i="11"/>
  <c r="I65" i="11" s="1"/>
  <c r="N43" i="11" l="1"/>
  <c r="P43" i="11" s="1"/>
  <c r="I36" i="11"/>
  <c r="N36" i="11" s="1"/>
  <c r="P36" i="11" s="1"/>
  <c r="I40" i="11"/>
  <c r="N40" i="11" s="1"/>
  <c r="P40" i="11" s="1"/>
  <c r="E194" i="10"/>
  <c r="E196" i="10" s="1"/>
  <c r="G192" i="10"/>
  <c r="H192" i="10" s="1"/>
  <c r="I192" i="10" s="1"/>
  <c r="G191" i="10"/>
  <c r="G190" i="10"/>
  <c r="H190" i="10" s="1"/>
  <c r="I190" i="10" s="1"/>
  <c r="G189" i="10"/>
  <c r="G181" i="10"/>
  <c r="H181" i="10" s="1"/>
  <c r="E183" i="10"/>
  <c r="E185" i="10" s="1"/>
  <c r="G180" i="10"/>
  <c r="G179" i="10"/>
  <c r="H179" i="10" s="1"/>
  <c r="I179" i="10" s="1"/>
  <c r="G178" i="10"/>
  <c r="G177" i="10"/>
  <c r="G176" i="10"/>
  <c r="H176" i="10" s="1"/>
  <c r="I176" i="10" s="1"/>
  <c r="I181" i="10" l="1"/>
  <c r="G194" i="10"/>
  <c r="H191" i="10"/>
  <c r="I191" i="10" s="1"/>
  <c r="H189" i="10"/>
  <c r="G183" i="10"/>
  <c r="H178" i="10"/>
  <c r="I178" i="10" s="1"/>
  <c r="H180" i="10"/>
  <c r="I180" i="10" s="1"/>
  <c r="H177" i="10"/>
  <c r="I177" i="10" s="1"/>
  <c r="G651" i="9"/>
  <c r="C651" i="9"/>
  <c r="F651" i="9"/>
  <c r="E645" i="9"/>
  <c r="E651" i="9" s="1"/>
  <c r="H194" i="10" l="1"/>
  <c r="I189" i="10"/>
  <c r="H183" i="10"/>
  <c r="G654" i="9"/>
  <c r="P149" i="8"/>
  <c r="R149" i="8" s="1"/>
  <c r="H198" i="10" l="1"/>
  <c r="G637" i="9"/>
  <c r="C637" i="9"/>
  <c r="F634" i="9"/>
  <c r="F633" i="9"/>
  <c r="F632" i="9"/>
  <c r="E630" i="9"/>
  <c r="E637" i="9" s="1"/>
  <c r="F637" i="9" l="1"/>
  <c r="G640" i="9" s="1"/>
  <c r="U18" i="8"/>
  <c r="P141" i="8"/>
  <c r="R141" i="8" s="1"/>
  <c r="G114" i="12" l="1"/>
  <c r="F121" i="12" s="1"/>
  <c r="C114" i="12"/>
  <c r="C117" i="12" s="1"/>
  <c r="F111" i="12"/>
  <c r="F114" i="12" s="1"/>
  <c r="F119" i="12" s="1"/>
  <c r="E110" i="12"/>
  <c r="E114" i="12" s="1"/>
  <c r="F117" i="12" s="1"/>
  <c r="F124" i="12" l="1"/>
  <c r="G5" i="16"/>
  <c r="G6" i="16"/>
  <c r="G7" i="16"/>
  <c r="G8" i="16"/>
  <c r="G4" i="16"/>
  <c r="K4" i="16" s="1"/>
  <c r="J27" i="16"/>
  <c r="G27" i="16"/>
  <c r="F614" i="9"/>
  <c r="K27" i="16" l="1"/>
  <c r="L27" i="16" s="1"/>
  <c r="F615" i="9"/>
  <c r="G620" i="9"/>
  <c r="C620" i="9"/>
  <c r="F618" i="9"/>
  <c r="F617" i="9"/>
  <c r="F616" i="9"/>
  <c r="E612" i="9"/>
  <c r="E620" i="9" s="1"/>
  <c r="P133" i="8"/>
  <c r="R133" i="8" s="1"/>
  <c r="F620" i="9" l="1"/>
  <c r="G623" i="9" s="1"/>
  <c r="F603" i="9" l="1"/>
  <c r="F596" i="9"/>
  <c r="F598" i="9" l="1"/>
  <c r="F599" i="9"/>
  <c r="F600" i="9"/>
  <c r="F601" i="9"/>
  <c r="F602" i="9"/>
  <c r="F597" i="9"/>
  <c r="G605" i="9" l="1"/>
  <c r="C605" i="9"/>
  <c r="F605" i="9"/>
  <c r="E594" i="9"/>
  <c r="E605" i="9" s="1"/>
  <c r="G608" i="9" l="1"/>
  <c r="F583" i="9"/>
  <c r="F582" i="9"/>
  <c r="F581" i="9"/>
  <c r="F501" i="9"/>
  <c r="F579" i="9"/>
  <c r="K169" i="8"/>
  <c r="K30" i="11" l="1"/>
  <c r="J30" i="11"/>
  <c r="G30" i="11"/>
  <c r="G184" i="8"/>
  <c r="G183" i="8"/>
  <c r="M85" i="12" l="1"/>
  <c r="Q85" i="12" s="1"/>
  <c r="M86" i="12"/>
  <c r="M87" i="12"/>
  <c r="Q87" i="12" s="1"/>
  <c r="M88" i="12"/>
  <c r="M89" i="12"/>
  <c r="R89" i="12" s="1"/>
  <c r="P84" i="12"/>
  <c r="O84" i="12"/>
  <c r="M84" i="12"/>
  <c r="Q84" i="12" s="1"/>
  <c r="N91" i="12"/>
  <c r="P89" i="12"/>
  <c r="O89" i="12"/>
  <c r="P88" i="12"/>
  <c r="O88" i="12"/>
  <c r="P87" i="12"/>
  <c r="O87" i="12"/>
  <c r="P86" i="12"/>
  <c r="O86" i="12"/>
  <c r="P85" i="12"/>
  <c r="O85" i="12"/>
  <c r="F87" i="12"/>
  <c r="F86" i="12"/>
  <c r="G94" i="12"/>
  <c r="F101" i="12" s="1"/>
  <c r="C94" i="12"/>
  <c r="C97" i="12" s="1"/>
  <c r="F85" i="12"/>
  <c r="E84" i="12"/>
  <c r="E94" i="12" s="1"/>
  <c r="F97" i="12" s="1"/>
  <c r="P91" i="12" l="1"/>
  <c r="R85" i="12"/>
  <c r="R84" i="12"/>
  <c r="Q86" i="12"/>
  <c r="R86" i="12" s="1"/>
  <c r="O91" i="12"/>
  <c r="M92" i="12" s="1"/>
  <c r="Q89" i="12"/>
  <c r="R87" i="12"/>
  <c r="Q88" i="12"/>
  <c r="R88" i="12" s="1"/>
  <c r="G194" i="8"/>
  <c r="I194" i="8" s="1"/>
  <c r="G193" i="8"/>
  <c r="I193" i="8" s="1"/>
  <c r="G190" i="8"/>
  <c r="I190" i="8" s="1"/>
  <c r="G189" i="8"/>
  <c r="I189" i="8" s="1"/>
  <c r="G188" i="8"/>
  <c r="I188" i="8" s="1"/>
  <c r="G187" i="8"/>
  <c r="I187" i="8" s="1"/>
  <c r="G186" i="8"/>
  <c r="I186" i="8" s="1"/>
  <c r="G185" i="8"/>
  <c r="I185" i="8" s="1"/>
  <c r="I184" i="8"/>
  <c r="I183" i="8"/>
  <c r="G182" i="8"/>
  <c r="I182" i="8" s="1"/>
  <c r="G181" i="8"/>
  <c r="I181" i="8" s="1"/>
  <c r="G204" i="8"/>
  <c r="I204" i="8" s="1"/>
  <c r="G203" i="8"/>
  <c r="I203" i="8" s="1"/>
  <c r="J203" i="8" s="1"/>
  <c r="G202" i="8"/>
  <c r="I202" i="8" s="1"/>
  <c r="G201" i="8"/>
  <c r="I201" i="8" s="1"/>
  <c r="G200" i="8"/>
  <c r="I200" i="8" s="1"/>
  <c r="G199" i="8"/>
  <c r="I199" i="8" s="1"/>
  <c r="G192" i="8"/>
  <c r="I192" i="8" s="1"/>
  <c r="G191" i="8"/>
  <c r="I191" i="8" s="1"/>
  <c r="J191" i="8" s="1"/>
  <c r="G198" i="8"/>
  <c r="I198" i="8" s="1"/>
  <c r="G197" i="8"/>
  <c r="I197" i="8" s="1"/>
  <c r="J197" i="8" s="1"/>
  <c r="G196" i="8"/>
  <c r="I196" i="8" s="1"/>
  <c r="G195" i="8"/>
  <c r="I195" i="8" s="1"/>
  <c r="J199" i="8" l="1"/>
  <c r="J193" i="8"/>
  <c r="J181" i="8"/>
  <c r="N181" i="8" s="1"/>
  <c r="P181" i="8" s="1"/>
  <c r="R181" i="8" s="1"/>
  <c r="J185" i="8"/>
  <c r="R91" i="12"/>
  <c r="F88" i="12" s="1"/>
  <c r="F94" i="12" s="1"/>
  <c r="F99" i="12" s="1"/>
  <c r="F104" i="12" s="1"/>
  <c r="Q580" i="9" l="1"/>
  <c r="P580" i="9"/>
  <c r="M580" i="9"/>
  <c r="Q579" i="9"/>
  <c r="P579" i="9"/>
  <c r="M579" i="9"/>
  <c r="Q578" i="9"/>
  <c r="P578" i="9"/>
  <c r="M578" i="9"/>
  <c r="Q577" i="9"/>
  <c r="P577" i="9"/>
  <c r="M577" i="9"/>
  <c r="G586" i="9"/>
  <c r="C586" i="9"/>
  <c r="O582" i="9"/>
  <c r="E577" i="9"/>
  <c r="E586" i="9" s="1"/>
  <c r="K157" i="8"/>
  <c r="P582" i="9" l="1"/>
  <c r="M583" i="9" s="1"/>
  <c r="Q582" i="9"/>
  <c r="R578" i="9"/>
  <c r="R580" i="9"/>
  <c r="N578" i="9"/>
  <c r="N580" i="9"/>
  <c r="R577" i="9"/>
  <c r="R579" i="9"/>
  <c r="N577" i="9"/>
  <c r="N579" i="9"/>
  <c r="S578" i="9" l="1"/>
  <c r="S577" i="9"/>
  <c r="S579" i="9"/>
  <c r="S580" i="9"/>
  <c r="S582" i="9" l="1"/>
  <c r="F580" i="9" s="1"/>
  <c r="F586" i="9" s="1"/>
  <c r="G589" i="9" s="1"/>
  <c r="G143" i="10"/>
  <c r="E168" i="10"/>
  <c r="E170" i="10" s="1"/>
  <c r="G165" i="10"/>
  <c r="G166" i="10"/>
  <c r="H166" i="10" s="1"/>
  <c r="I166" i="10" s="1"/>
  <c r="G164" i="10"/>
  <c r="H164" i="10" s="1"/>
  <c r="I164" i="10" s="1"/>
  <c r="G163" i="10"/>
  <c r="G161" i="10"/>
  <c r="G162" i="10"/>
  <c r="H162" i="10" s="1"/>
  <c r="I162" i="10" s="1"/>
  <c r="G159" i="10"/>
  <c r="H159" i="10" s="1"/>
  <c r="I159" i="10" s="1"/>
  <c r="G158" i="10"/>
  <c r="G160" i="10"/>
  <c r="H143" i="10" l="1"/>
  <c r="I143" i="10" s="1"/>
  <c r="G168" i="10"/>
  <c r="H158" i="10"/>
  <c r="I158" i="10" s="1"/>
  <c r="H163" i="10"/>
  <c r="I163" i="10" s="1"/>
  <c r="H160" i="10"/>
  <c r="I160" i="10" s="1"/>
  <c r="H161" i="10"/>
  <c r="I161" i="10" s="1"/>
  <c r="H165" i="10"/>
  <c r="I165" i="10" s="1"/>
  <c r="K27" i="11"/>
  <c r="J27" i="11"/>
  <c r="K23" i="11"/>
  <c r="J23" i="11"/>
  <c r="I17" i="16"/>
  <c r="G24" i="16"/>
  <c r="G28" i="16"/>
  <c r="K28" i="16" s="1"/>
  <c r="G29" i="16"/>
  <c r="G30" i="16"/>
  <c r="G31" i="16"/>
  <c r="K31" i="16" s="1"/>
  <c r="G33" i="16"/>
  <c r="K33" i="16" s="1"/>
  <c r="G17" i="16"/>
  <c r="J33" i="16"/>
  <c r="J31" i="16"/>
  <c r="J30" i="16"/>
  <c r="J29" i="16"/>
  <c r="J28" i="16"/>
  <c r="H37" i="16"/>
  <c r="J24" i="16"/>
  <c r="J17" i="16"/>
  <c r="H10" i="16"/>
  <c r="J9" i="16"/>
  <c r="I9" i="16"/>
  <c r="G9" i="16"/>
  <c r="L9" i="16" s="1"/>
  <c r="J8" i="16"/>
  <c r="I8" i="16"/>
  <c r="K8" i="16"/>
  <c r="J7" i="16"/>
  <c r="I7" i="16"/>
  <c r="K6" i="16"/>
  <c r="J6" i="16"/>
  <c r="I6" i="16"/>
  <c r="J5" i="16"/>
  <c r="I5" i="16"/>
  <c r="J4" i="16"/>
  <c r="I4" i="16"/>
  <c r="F522" i="9"/>
  <c r="F63" i="12"/>
  <c r="F62" i="12"/>
  <c r="P68" i="12"/>
  <c r="O68" i="12"/>
  <c r="M68" i="12"/>
  <c r="R68" i="12" s="1"/>
  <c r="K29" i="16" l="1"/>
  <c r="L29" i="16" s="1"/>
  <c r="L33" i="16"/>
  <c r="H168" i="10"/>
  <c r="I37" i="16"/>
  <c r="H39" i="16" s="1"/>
  <c r="L31" i="16"/>
  <c r="K30" i="16"/>
  <c r="L30" i="16" s="1"/>
  <c r="L28" i="16"/>
  <c r="K17" i="16"/>
  <c r="L17" i="16" s="1"/>
  <c r="J10" i="16"/>
  <c r="L11" i="16" s="1"/>
  <c r="I10" i="16"/>
  <c r="J37" i="16"/>
  <c r="L8" i="16"/>
  <c r="L6" i="16"/>
  <c r="L4" i="16"/>
  <c r="K5" i="16"/>
  <c r="L5" i="16" s="1"/>
  <c r="K9" i="16"/>
  <c r="K24" i="16"/>
  <c r="L24" i="16" s="1"/>
  <c r="K7" i="16"/>
  <c r="L7" i="16" s="1"/>
  <c r="Q68" i="12"/>
  <c r="G180" i="8"/>
  <c r="I180" i="8" s="1"/>
  <c r="G179" i="8"/>
  <c r="I179" i="8" s="1"/>
  <c r="G178" i="8"/>
  <c r="I178" i="8" s="1"/>
  <c r="G177" i="8"/>
  <c r="I177" i="8" s="1"/>
  <c r="G176" i="8"/>
  <c r="I176" i="8" s="1"/>
  <c r="G175" i="8"/>
  <c r="I175" i="8" s="1"/>
  <c r="G174" i="8"/>
  <c r="I174" i="8" s="1"/>
  <c r="G173" i="8"/>
  <c r="I173" i="8" s="1"/>
  <c r="G172" i="8"/>
  <c r="I172" i="8" s="1"/>
  <c r="G171" i="8"/>
  <c r="I171" i="8" s="1"/>
  <c r="G170" i="8"/>
  <c r="I170" i="8" s="1"/>
  <c r="G169" i="8"/>
  <c r="I169" i="8" s="1"/>
  <c r="G210" i="8"/>
  <c r="I210" i="8" s="1"/>
  <c r="G209" i="8"/>
  <c r="I209" i="8" s="1"/>
  <c r="G208" i="8"/>
  <c r="I208" i="8" s="1"/>
  <c r="G207" i="8"/>
  <c r="I207" i="8" s="1"/>
  <c r="G206" i="8"/>
  <c r="I206" i="8" s="1"/>
  <c r="G205" i="8"/>
  <c r="I205" i="8" s="1"/>
  <c r="K143" i="8"/>
  <c r="O556" i="9"/>
  <c r="Q556" i="9" s="1"/>
  <c r="M556" i="9"/>
  <c r="R556" i="9" s="1"/>
  <c r="M557" i="9"/>
  <c r="N557" i="9" s="1"/>
  <c r="P557" i="9"/>
  <c r="Q557" i="9"/>
  <c r="M558" i="9"/>
  <c r="N558" i="9" s="1"/>
  <c r="P558" i="9"/>
  <c r="Q558" i="9"/>
  <c r="M559" i="9"/>
  <c r="N559" i="9" s="1"/>
  <c r="P559" i="9"/>
  <c r="Q559" i="9"/>
  <c r="M560" i="9"/>
  <c r="R560" i="9" s="1"/>
  <c r="P560" i="9"/>
  <c r="Q560" i="9"/>
  <c r="M561" i="9"/>
  <c r="N561" i="9" s="1"/>
  <c r="P561" i="9"/>
  <c r="Q561" i="9"/>
  <c r="M562" i="9"/>
  <c r="R562" i="9" s="1"/>
  <c r="P562" i="9"/>
  <c r="Q562" i="9"/>
  <c r="M563" i="9"/>
  <c r="N563" i="9" s="1"/>
  <c r="P563" i="9"/>
  <c r="Q563" i="9"/>
  <c r="M564" i="9"/>
  <c r="N564" i="9" s="1"/>
  <c r="P564" i="9"/>
  <c r="Q564" i="9"/>
  <c r="M565" i="9"/>
  <c r="R565" i="9" s="1"/>
  <c r="P565" i="9"/>
  <c r="Q565" i="9"/>
  <c r="M566" i="9"/>
  <c r="N566" i="9" s="1"/>
  <c r="P566" i="9"/>
  <c r="Q566" i="9"/>
  <c r="M567" i="9"/>
  <c r="R567" i="9" s="1"/>
  <c r="P567" i="9"/>
  <c r="Q567" i="9"/>
  <c r="M568" i="9"/>
  <c r="N568" i="9" s="1"/>
  <c r="P568" i="9"/>
  <c r="Q568" i="9"/>
  <c r="N569" i="9"/>
  <c r="P569" i="9"/>
  <c r="Q569" i="9"/>
  <c r="O545" i="9"/>
  <c r="Q545" i="9" s="1"/>
  <c r="O549" i="9"/>
  <c r="Q549" i="9" s="1"/>
  <c r="M549" i="9"/>
  <c r="R549" i="9" s="1"/>
  <c r="M550" i="9"/>
  <c r="N550" i="9" s="1"/>
  <c r="P550" i="9"/>
  <c r="Q550" i="9"/>
  <c r="M551" i="9"/>
  <c r="N551" i="9" s="1"/>
  <c r="P551" i="9"/>
  <c r="Q551" i="9"/>
  <c r="M552" i="9"/>
  <c r="N552" i="9" s="1"/>
  <c r="P552" i="9"/>
  <c r="Q552" i="9"/>
  <c r="M553" i="9"/>
  <c r="R553" i="9" s="1"/>
  <c r="P553" i="9"/>
  <c r="Q553" i="9"/>
  <c r="M554" i="9"/>
  <c r="N554" i="9" s="1"/>
  <c r="P554" i="9"/>
  <c r="Q554" i="9"/>
  <c r="M555" i="9"/>
  <c r="N555" i="9" s="1"/>
  <c r="P555" i="9"/>
  <c r="Q555" i="9"/>
  <c r="M545" i="9"/>
  <c r="R545" i="9" s="1"/>
  <c r="M546" i="9"/>
  <c r="N546" i="9" s="1"/>
  <c r="P546" i="9"/>
  <c r="Q546" i="9"/>
  <c r="M547" i="9"/>
  <c r="R547" i="9" s="1"/>
  <c r="P547" i="9"/>
  <c r="Q547" i="9"/>
  <c r="M548" i="9"/>
  <c r="N548" i="9" s="1"/>
  <c r="P548" i="9"/>
  <c r="Q548" i="9"/>
  <c r="O533" i="9"/>
  <c r="M533" i="9"/>
  <c r="N533" i="9" s="1"/>
  <c r="M534" i="9"/>
  <c r="N534" i="9" s="1"/>
  <c r="M535" i="9"/>
  <c r="R535" i="9" s="1"/>
  <c r="M536" i="9"/>
  <c r="N536" i="9" s="1"/>
  <c r="M537" i="9"/>
  <c r="N537" i="9" s="1"/>
  <c r="M538" i="9"/>
  <c r="N538" i="9" s="1"/>
  <c r="Q544" i="9"/>
  <c r="P544" i="9"/>
  <c r="M544" i="9"/>
  <c r="Q543" i="9"/>
  <c r="P543" i="9"/>
  <c r="M543" i="9"/>
  <c r="R543" i="9" s="1"/>
  <c r="Q542" i="9"/>
  <c r="P542" i="9"/>
  <c r="M542" i="9"/>
  <c r="Q541" i="9"/>
  <c r="P541" i="9"/>
  <c r="M541" i="9"/>
  <c r="R541" i="9" s="1"/>
  <c r="Q540" i="9"/>
  <c r="P540" i="9"/>
  <c r="M540" i="9"/>
  <c r="Q539" i="9"/>
  <c r="P539" i="9"/>
  <c r="M539" i="9"/>
  <c r="R539" i="9" s="1"/>
  <c r="Q538" i="9"/>
  <c r="P538" i="9"/>
  <c r="Q537" i="9"/>
  <c r="P537" i="9"/>
  <c r="Q536" i="9"/>
  <c r="P536" i="9"/>
  <c r="Q535" i="9"/>
  <c r="P535" i="9"/>
  <c r="O528" i="9"/>
  <c r="M528" i="9"/>
  <c r="N528" i="9" s="1"/>
  <c r="M529" i="9"/>
  <c r="N529" i="9" s="1"/>
  <c r="M530" i="9"/>
  <c r="N530" i="9" s="1"/>
  <c r="M531" i="9"/>
  <c r="N531" i="9" s="1"/>
  <c r="M532" i="9"/>
  <c r="N532" i="9" s="1"/>
  <c r="O525" i="9"/>
  <c r="L40" i="16" l="1"/>
  <c r="L37" i="16"/>
  <c r="J169" i="8"/>
  <c r="J175" i="8"/>
  <c r="R568" i="9"/>
  <c r="S568" i="9" s="1"/>
  <c r="R564" i="9"/>
  <c r="P545" i="9"/>
  <c r="R566" i="9"/>
  <c r="S566" i="9" s="1"/>
  <c r="R558" i="9"/>
  <c r="S558" i="9" s="1"/>
  <c r="N553" i="9"/>
  <c r="S553" i="9" s="1"/>
  <c r="S564" i="9"/>
  <c r="R563" i="9"/>
  <c r="S562" i="9"/>
  <c r="L10" i="16"/>
  <c r="L13" i="16" s="1"/>
  <c r="P549" i="9"/>
  <c r="N535" i="9"/>
  <c r="S535" i="9" s="1"/>
  <c r="N545" i="9"/>
  <c r="S545" i="9" s="1"/>
  <c r="N562" i="9"/>
  <c r="N560" i="9"/>
  <c r="S560" i="9" s="1"/>
  <c r="R557" i="9"/>
  <c r="S557" i="9" s="1"/>
  <c r="P556" i="9"/>
  <c r="N556" i="9"/>
  <c r="S556" i="9" s="1"/>
  <c r="R561" i="9"/>
  <c r="R559" i="9"/>
  <c r="S559" i="9" s="1"/>
  <c r="R555" i="9"/>
  <c r="S555" i="9" s="1"/>
  <c r="R569" i="9"/>
  <c r="S569" i="9" s="1"/>
  <c r="N567" i="9"/>
  <c r="S567" i="9" s="1"/>
  <c r="N565" i="9"/>
  <c r="S565" i="9" s="1"/>
  <c r="S563" i="9"/>
  <c r="S561" i="9"/>
  <c r="R551" i="9"/>
  <c r="S551" i="9" s="1"/>
  <c r="R550" i="9"/>
  <c r="S550" i="9" s="1"/>
  <c r="R548" i="9"/>
  <c r="S548" i="9" s="1"/>
  <c r="R537" i="9"/>
  <c r="S537" i="9" s="1"/>
  <c r="R552" i="9"/>
  <c r="S552" i="9" s="1"/>
  <c r="N549" i="9"/>
  <c r="S549" i="9" s="1"/>
  <c r="R554" i="9"/>
  <c r="S554" i="9" s="1"/>
  <c r="N547" i="9"/>
  <c r="S547" i="9" s="1"/>
  <c r="R546" i="9"/>
  <c r="S546" i="9" s="1"/>
  <c r="N541" i="9"/>
  <c r="S541" i="9" s="1"/>
  <c r="N543" i="9"/>
  <c r="S543" i="9" s="1"/>
  <c r="N539" i="9"/>
  <c r="S539" i="9" s="1"/>
  <c r="R540" i="9"/>
  <c r="R536" i="9"/>
  <c r="S536" i="9" s="1"/>
  <c r="R538" i="9"/>
  <c r="S538" i="9" s="1"/>
  <c r="R542" i="9"/>
  <c r="R544" i="9"/>
  <c r="N540" i="9"/>
  <c r="N542" i="9"/>
  <c r="N544" i="9"/>
  <c r="G18" i="15"/>
  <c r="G21" i="15" s="1"/>
  <c r="C7" i="15"/>
  <c r="L44" i="16" l="1"/>
  <c r="L46" i="16" s="1"/>
  <c r="L67" i="16" s="1"/>
  <c r="V42" i="16" s="1"/>
  <c r="V52" i="16" s="1"/>
  <c r="N169" i="8"/>
  <c r="P169" i="8" s="1"/>
  <c r="R169" i="8" s="1"/>
  <c r="S544" i="9"/>
  <c r="S542" i="9"/>
  <c r="S540" i="9"/>
  <c r="O69" i="12"/>
  <c r="P69" i="12"/>
  <c r="Q69" i="12"/>
  <c r="O17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45" i="12"/>
  <c r="O46" i="12"/>
  <c r="O47" i="12"/>
  <c r="O48" i="12"/>
  <c r="O49" i="12"/>
  <c r="O50" i="12"/>
  <c r="O59" i="12"/>
  <c r="O60" i="12"/>
  <c r="O61" i="12"/>
  <c r="O62" i="12"/>
  <c r="O63" i="12"/>
  <c r="O64" i="12"/>
  <c r="O65" i="12"/>
  <c r="O66" i="12"/>
  <c r="O67" i="12"/>
  <c r="F61" i="12"/>
  <c r="G70" i="12"/>
  <c r="F77" i="12" s="1"/>
  <c r="C70" i="12"/>
  <c r="C73" i="12" s="1"/>
  <c r="E59" i="12"/>
  <c r="R69" i="12"/>
  <c r="P67" i="12"/>
  <c r="M67" i="12"/>
  <c r="Q67" i="12" s="1"/>
  <c r="P66" i="12"/>
  <c r="M66" i="12"/>
  <c r="Q66" i="12" s="1"/>
  <c r="P65" i="12"/>
  <c r="M65" i="12"/>
  <c r="Q65" i="12" s="1"/>
  <c r="P64" i="12"/>
  <c r="M64" i="12"/>
  <c r="Q64" i="12" s="1"/>
  <c r="P63" i="12"/>
  <c r="M63" i="12"/>
  <c r="Q63" i="12" s="1"/>
  <c r="P62" i="12"/>
  <c r="M62" i="12"/>
  <c r="Q62" i="12" s="1"/>
  <c r="P61" i="12"/>
  <c r="M61" i="12"/>
  <c r="Q61" i="12" s="1"/>
  <c r="P60" i="12"/>
  <c r="M60" i="12"/>
  <c r="Q60" i="12" s="1"/>
  <c r="N70" i="12"/>
  <c r="M59" i="12"/>
  <c r="M5" i="12"/>
  <c r="Q5" i="12" s="1"/>
  <c r="M6" i="12"/>
  <c r="Q6" i="12" s="1"/>
  <c r="M7" i="12"/>
  <c r="Q7" i="12" s="1"/>
  <c r="M8" i="12"/>
  <c r="Q8" i="12" s="1"/>
  <c r="M9" i="12"/>
  <c r="Q9" i="12" s="1"/>
  <c r="M10" i="12"/>
  <c r="Q10" i="12" s="1"/>
  <c r="M11" i="12"/>
  <c r="Q11" i="12" s="1"/>
  <c r="M12" i="12"/>
  <c r="Q12" i="12" s="1"/>
  <c r="M13" i="12"/>
  <c r="Q13" i="12" s="1"/>
  <c r="M14" i="12"/>
  <c r="Q14" i="12" s="1"/>
  <c r="M15" i="12"/>
  <c r="Q15" i="12" s="1"/>
  <c r="M16" i="12"/>
  <c r="Q16" i="12" s="1"/>
  <c r="M17" i="12"/>
  <c r="Q17" i="12" s="1"/>
  <c r="M18" i="12"/>
  <c r="Q18" i="12" s="1"/>
  <c r="M19" i="12"/>
  <c r="Q19" i="12" s="1"/>
  <c r="M20" i="12"/>
  <c r="Q20" i="12" s="1"/>
  <c r="M21" i="12"/>
  <c r="Q21" i="12" s="1"/>
  <c r="M22" i="12"/>
  <c r="Q22" i="12" s="1"/>
  <c r="M23" i="12"/>
  <c r="Q23" i="12" s="1"/>
  <c r="M24" i="12"/>
  <c r="Q24" i="12" s="1"/>
  <c r="M25" i="12"/>
  <c r="Q25" i="12" s="1"/>
  <c r="M26" i="12"/>
  <c r="Q26" i="12" s="1"/>
  <c r="M27" i="12"/>
  <c r="Q27" i="12" s="1"/>
  <c r="M28" i="12"/>
  <c r="Q28" i="12" s="1"/>
  <c r="M29" i="12"/>
  <c r="Q29" i="12" s="1"/>
  <c r="M30" i="12"/>
  <c r="Q30" i="12" s="1"/>
  <c r="M31" i="12"/>
  <c r="Q31" i="12" s="1"/>
  <c r="M32" i="12"/>
  <c r="Q32" i="12" s="1"/>
  <c r="M33" i="12"/>
  <c r="Q33" i="12" s="1"/>
  <c r="M34" i="12"/>
  <c r="Q34" i="12" s="1"/>
  <c r="M35" i="12"/>
  <c r="Q35" i="12" s="1"/>
  <c r="M36" i="12"/>
  <c r="Q36" i="12" s="1"/>
  <c r="M37" i="12"/>
  <c r="Q37" i="12" s="1"/>
  <c r="Q38" i="12"/>
  <c r="M4" i="12"/>
  <c r="Q4" i="12" s="1"/>
  <c r="M522" i="9"/>
  <c r="R522" i="9" s="1"/>
  <c r="P522" i="9"/>
  <c r="Q522" i="9"/>
  <c r="M523" i="9"/>
  <c r="N523" i="9" s="1"/>
  <c r="P523" i="9"/>
  <c r="Q523" i="9"/>
  <c r="M524" i="9"/>
  <c r="N524" i="9" s="1"/>
  <c r="P524" i="9"/>
  <c r="Q524" i="9"/>
  <c r="M525" i="9"/>
  <c r="N525" i="9" s="1"/>
  <c r="P525" i="9"/>
  <c r="Q525" i="9"/>
  <c r="M526" i="9"/>
  <c r="R526" i="9" s="1"/>
  <c r="P526" i="9"/>
  <c r="Q526" i="9"/>
  <c r="M527" i="9"/>
  <c r="N527" i="9" s="1"/>
  <c r="P527" i="9"/>
  <c r="Q527" i="9"/>
  <c r="R528" i="9"/>
  <c r="P528" i="9"/>
  <c r="Q528" i="9"/>
  <c r="P529" i="9"/>
  <c r="Q529" i="9"/>
  <c r="R530" i="9"/>
  <c r="P530" i="9"/>
  <c r="Q530" i="9"/>
  <c r="P531" i="9"/>
  <c r="Q531" i="9"/>
  <c r="R531" i="9"/>
  <c r="R532" i="9"/>
  <c r="P532" i="9"/>
  <c r="Q532" i="9"/>
  <c r="P533" i="9"/>
  <c r="Q533" i="9"/>
  <c r="R533" i="9"/>
  <c r="R534" i="9"/>
  <c r="P534" i="9"/>
  <c r="Q534" i="9"/>
  <c r="O571" i="9"/>
  <c r="G527" i="9"/>
  <c r="C527" i="9"/>
  <c r="E527" i="9"/>
  <c r="P105" i="8"/>
  <c r="R105" i="8" s="1"/>
  <c r="V108" i="8" s="1"/>
  <c r="S534" i="9" l="1"/>
  <c r="S530" i="9"/>
  <c r="O51" i="12"/>
  <c r="O70" i="12"/>
  <c r="M71" i="12" s="1"/>
  <c r="S528" i="9"/>
  <c r="S532" i="9"/>
  <c r="N522" i="9"/>
  <c r="S522" i="9" s="1"/>
  <c r="R525" i="9"/>
  <c r="S525" i="9" s="1"/>
  <c r="R524" i="9"/>
  <c r="S524" i="9" s="1"/>
  <c r="N526" i="9"/>
  <c r="S526" i="9" s="1"/>
  <c r="Q59" i="12"/>
  <c r="P59" i="12"/>
  <c r="P70" i="12" s="1"/>
  <c r="R61" i="12"/>
  <c r="R60" i="12"/>
  <c r="U5" i="12"/>
  <c r="R63" i="12"/>
  <c r="R65" i="12"/>
  <c r="R67" i="12"/>
  <c r="R62" i="12"/>
  <c r="R64" i="12"/>
  <c r="R66" i="12"/>
  <c r="Q571" i="9"/>
  <c r="R527" i="9"/>
  <c r="S527" i="9" s="1"/>
  <c r="R529" i="9"/>
  <c r="S529" i="9" s="1"/>
  <c r="R523" i="9"/>
  <c r="S523" i="9" s="1"/>
  <c r="P571" i="9"/>
  <c r="M572" i="9" s="1"/>
  <c r="S533" i="9"/>
  <c r="S531" i="9"/>
  <c r="C15" i="15"/>
  <c r="C18" i="15" l="1"/>
  <c r="R59" i="12"/>
  <c r="R70" i="12" s="1"/>
  <c r="F64" i="12" s="1"/>
  <c r="F70" i="12" s="1"/>
  <c r="F75" i="12" s="1"/>
  <c r="G4" i="15"/>
  <c r="G8" i="15" s="1"/>
  <c r="F7" i="12"/>
  <c r="F9" i="12"/>
  <c r="F8" i="12"/>
  <c r="F12" i="12"/>
  <c r="G23" i="12"/>
  <c r="C23" i="12"/>
  <c r="C26" i="12" s="1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9" i="12"/>
  <c r="P21" i="12"/>
  <c r="P22" i="12"/>
  <c r="R22" i="12" s="1"/>
  <c r="P23" i="12"/>
  <c r="P24" i="12"/>
  <c r="N20" i="12"/>
  <c r="P20" i="12" s="1"/>
  <c r="N18" i="12"/>
  <c r="P37" i="12"/>
  <c r="P38" i="12"/>
  <c r="R38" i="12"/>
  <c r="F11" i="12"/>
  <c r="F10" i="12"/>
  <c r="S571" i="9" l="1"/>
  <c r="F521" i="9" s="1"/>
  <c r="P18" i="12"/>
  <c r="O18" i="12"/>
  <c r="O39" i="12" s="1"/>
  <c r="R21" i="12"/>
  <c r="R20" i="12"/>
  <c r="R18" i="12"/>
  <c r="R19" i="12"/>
  <c r="R37" i="12"/>
  <c r="C51" i="12"/>
  <c r="E45" i="12"/>
  <c r="E51" i="12" l="1"/>
  <c r="F51" i="12" s="1"/>
  <c r="F18" i="12"/>
  <c r="F17" i="12"/>
  <c r="E6" i="12" l="1"/>
  <c r="P36" i="12"/>
  <c r="P35" i="12"/>
  <c r="R35" i="12"/>
  <c r="P34" i="12"/>
  <c r="P33" i="12"/>
  <c r="R33" i="12"/>
  <c r="P32" i="12"/>
  <c r="R32" i="12" s="1"/>
  <c r="P31" i="12"/>
  <c r="R31" i="12" s="1"/>
  <c r="P30" i="12"/>
  <c r="N29" i="12"/>
  <c r="P28" i="12"/>
  <c r="P27" i="12"/>
  <c r="P26" i="12"/>
  <c r="P25" i="12"/>
  <c r="P29" i="12" l="1"/>
  <c r="P39" i="12" s="1"/>
  <c r="N39" i="12"/>
  <c r="M40" i="12" s="1"/>
  <c r="R23" i="12"/>
  <c r="R24" i="12"/>
  <c r="R26" i="12"/>
  <c r="R29" i="12"/>
  <c r="R34" i="12"/>
  <c r="R36" i="12"/>
  <c r="R25" i="12"/>
  <c r="R27" i="12"/>
  <c r="R30" i="12"/>
  <c r="R28" i="12"/>
  <c r="E5" i="12" l="1"/>
  <c r="F31" i="12"/>
  <c r="J11" i="11"/>
  <c r="J14" i="11"/>
  <c r="J17" i="11"/>
  <c r="J20" i="11"/>
  <c r="E151" i="10" l="1"/>
  <c r="E153" i="10" s="1"/>
  <c r="G149" i="10"/>
  <c r="G148" i="10"/>
  <c r="H148" i="10" s="1"/>
  <c r="I148" i="10" s="1"/>
  <c r="G147" i="10"/>
  <c r="H147" i="10" s="1"/>
  <c r="I147" i="10" s="1"/>
  <c r="G146" i="10"/>
  <c r="G145" i="10"/>
  <c r="G144" i="10"/>
  <c r="H144" i="10" s="1"/>
  <c r="I144" i="10" s="1"/>
  <c r="G142" i="10"/>
  <c r="H142" i="10" s="1"/>
  <c r="I142" i="10" s="1"/>
  <c r="G141" i="10"/>
  <c r="K20" i="11"/>
  <c r="K17" i="11"/>
  <c r="G130" i="10"/>
  <c r="G129" i="10"/>
  <c r="G128" i="10"/>
  <c r="H128" i="10" s="1"/>
  <c r="I128" i="10" s="1"/>
  <c r="G127" i="10"/>
  <c r="H127" i="10" s="1"/>
  <c r="I127" i="10" s="1"/>
  <c r="E135" i="10"/>
  <c r="E137" i="10" s="1"/>
  <c r="G133" i="10"/>
  <c r="H133" i="10" s="1"/>
  <c r="I133" i="10" s="1"/>
  <c r="G132" i="10"/>
  <c r="H132" i="10" s="1"/>
  <c r="I132" i="10" s="1"/>
  <c r="G131" i="10"/>
  <c r="G126" i="10"/>
  <c r="G125" i="10"/>
  <c r="H125" i="10" s="1"/>
  <c r="I125" i="10" s="1"/>
  <c r="G124" i="10"/>
  <c r="H124" i="10" s="1"/>
  <c r="I124" i="10" s="1"/>
  <c r="G123" i="10"/>
  <c r="G122" i="10"/>
  <c r="G121" i="10"/>
  <c r="H121" i="10" s="1"/>
  <c r="I121" i="10" s="1"/>
  <c r="G120" i="10"/>
  <c r="H120" i="10" s="1"/>
  <c r="G151" i="10" l="1"/>
  <c r="H149" i="10"/>
  <c r="I149" i="10" s="1"/>
  <c r="H145" i="10"/>
  <c r="I145" i="10" s="1"/>
  <c r="H141" i="10"/>
  <c r="I141" i="10" s="1"/>
  <c r="H146" i="10"/>
  <c r="I146" i="10" s="1"/>
  <c r="H129" i="10"/>
  <c r="I129" i="10" s="1"/>
  <c r="H130" i="10"/>
  <c r="I130" i="10" s="1"/>
  <c r="I120" i="10"/>
  <c r="H123" i="10"/>
  <c r="I123" i="10" s="1"/>
  <c r="H131" i="10"/>
  <c r="I131" i="10" s="1"/>
  <c r="G135" i="10"/>
  <c r="H122" i="10"/>
  <c r="I122" i="10" s="1"/>
  <c r="H126" i="10"/>
  <c r="I126" i="10" s="1"/>
  <c r="H151" i="10" l="1"/>
  <c r="H135" i="10"/>
  <c r="J26" i="14"/>
  <c r="J33" i="14" s="1"/>
  <c r="D26" i="14"/>
  <c r="E26" i="14" s="1"/>
  <c r="K31" i="14"/>
  <c r="K30" i="14"/>
  <c r="K29" i="14"/>
  <c r="K28" i="14"/>
  <c r="K27" i="14"/>
  <c r="K25" i="14"/>
  <c r="K24" i="14"/>
  <c r="K23" i="14"/>
  <c r="K22" i="14"/>
  <c r="J16" i="14"/>
  <c r="K14" i="14"/>
  <c r="K13" i="14"/>
  <c r="K12" i="14"/>
  <c r="K11" i="14"/>
  <c r="K10" i="14"/>
  <c r="K9" i="14"/>
  <c r="K8" i="14"/>
  <c r="K7" i="14"/>
  <c r="K6" i="14"/>
  <c r="K5" i="14"/>
  <c r="K4" i="14"/>
  <c r="E31" i="14"/>
  <c r="E30" i="14"/>
  <c r="E29" i="14"/>
  <c r="E28" i="14"/>
  <c r="E27" i="14"/>
  <c r="E25" i="14"/>
  <c r="E24" i="14"/>
  <c r="E23" i="14"/>
  <c r="E22" i="14"/>
  <c r="E13" i="14"/>
  <c r="E12" i="14"/>
  <c r="E11" i="14"/>
  <c r="E10" i="14"/>
  <c r="E9" i="14"/>
  <c r="E8" i="14"/>
  <c r="E7" i="14"/>
  <c r="E6" i="14"/>
  <c r="E5" i="14"/>
  <c r="C4" i="14"/>
  <c r="E4" i="14" s="1"/>
  <c r="D33" i="14" l="1"/>
  <c r="K26" i="14"/>
  <c r="K33" i="14" s="1"/>
  <c r="E16" i="14"/>
  <c r="K16" i="14"/>
  <c r="E33" i="14"/>
  <c r="F500" i="9"/>
  <c r="G504" i="9"/>
  <c r="C504" i="9"/>
  <c r="F502" i="9"/>
  <c r="F499" i="9"/>
  <c r="E498" i="9"/>
  <c r="E504" i="9" s="1"/>
  <c r="F504" i="9" l="1"/>
  <c r="G507" i="9" s="1"/>
  <c r="N51" i="12" l="1"/>
  <c r="P50" i="12"/>
  <c r="M50" i="12"/>
  <c r="R50" i="12" s="1"/>
  <c r="P49" i="12"/>
  <c r="M49" i="12"/>
  <c r="P48" i="12"/>
  <c r="M48" i="12"/>
  <c r="P47" i="12"/>
  <c r="M47" i="12"/>
  <c r="P46" i="12"/>
  <c r="M46" i="12"/>
  <c r="P45" i="12"/>
  <c r="M45" i="12"/>
  <c r="Q47" i="12" l="1"/>
  <c r="R47" i="12" s="1"/>
  <c r="Q49" i="12"/>
  <c r="R49" i="12" s="1"/>
  <c r="Q46" i="12"/>
  <c r="R46" i="12" s="1"/>
  <c r="Q48" i="12"/>
  <c r="R48" i="12" s="1"/>
  <c r="Q50" i="12"/>
  <c r="Q45" i="12"/>
  <c r="R45" i="12" s="1"/>
  <c r="P51" i="12"/>
  <c r="R52" i="12" s="1"/>
  <c r="K14" i="11"/>
  <c r="R51" i="12" l="1"/>
  <c r="R54" i="12" s="1"/>
  <c r="K149" i="8"/>
  <c r="T111" i="8"/>
  <c r="T110" i="8"/>
  <c r="T109" i="8"/>
  <c r="F486" i="9" l="1"/>
  <c r="F487" i="9"/>
  <c r="F485" i="9"/>
  <c r="F484" i="9"/>
  <c r="K11" i="11" l="1"/>
  <c r="K8" i="11"/>
  <c r="J8" i="11"/>
  <c r="G11" i="11"/>
  <c r="G12" i="11"/>
  <c r="G13" i="11"/>
  <c r="G8" i="11"/>
  <c r="G9" i="11"/>
  <c r="G10" i="11"/>
  <c r="G14" i="11"/>
  <c r="I11" i="11" l="1"/>
  <c r="N11" i="11" s="1"/>
  <c r="P11" i="11" s="1"/>
  <c r="I8" i="11"/>
  <c r="N8" i="11" s="1"/>
  <c r="P8" i="11" s="1"/>
  <c r="K70" i="11"/>
  <c r="G489" i="9"/>
  <c r="C489" i="9"/>
  <c r="F483" i="9"/>
  <c r="F489" i="9" s="1"/>
  <c r="E482" i="9"/>
  <c r="E489" i="9" s="1"/>
  <c r="P4" i="11"/>
  <c r="G492" i="9" l="1"/>
  <c r="R8" i="12" l="1"/>
  <c r="R12" i="12" l="1"/>
  <c r="R7" i="12"/>
  <c r="R5" i="12"/>
  <c r="R15" i="12"/>
  <c r="R4" i="12"/>
  <c r="R11" i="12"/>
  <c r="R13" i="12"/>
  <c r="R9" i="12"/>
  <c r="R6" i="12"/>
  <c r="R16" i="12"/>
  <c r="R14" i="12"/>
  <c r="R17" i="12"/>
  <c r="R10" i="12"/>
  <c r="E4" i="12"/>
  <c r="E23" i="12" s="1"/>
  <c r="F26" i="12" s="1"/>
  <c r="R39" i="12" l="1"/>
  <c r="F13" i="12" s="1"/>
  <c r="J5" i="11"/>
  <c r="J6" i="11"/>
  <c r="J7" i="11"/>
  <c r="J26" i="11"/>
  <c r="J4" i="11"/>
  <c r="F23" i="12" l="1"/>
  <c r="F28" i="12" s="1"/>
  <c r="F34" i="12" s="1"/>
  <c r="E70" i="12" s="1"/>
  <c r="F73" i="12" s="1"/>
  <c r="F80" i="12" s="1"/>
  <c r="K139" i="8"/>
  <c r="F467" i="9"/>
  <c r="S70" i="11"/>
  <c r="R70" i="11"/>
  <c r="F70" i="11"/>
  <c r="G68" i="11"/>
  <c r="I68" i="11" s="1"/>
  <c r="G67" i="11"/>
  <c r="I67" i="11" s="1"/>
  <c r="G64" i="11"/>
  <c r="I64" i="11" s="1"/>
  <c r="G56" i="11"/>
  <c r="I56" i="11" s="1"/>
  <c r="N52" i="11" s="1"/>
  <c r="I30" i="11"/>
  <c r="G33" i="11"/>
  <c r="G32" i="11"/>
  <c r="G31" i="11"/>
  <c r="G29" i="11"/>
  <c r="G28" i="11"/>
  <c r="G27" i="11"/>
  <c r="G25" i="11"/>
  <c r="G24" i="11"/>
  <c r="G23" i="11"/>
  <c r="G22" i="11"/>
  <c r="G21" i="11"/>
  <c r="G20" i="11"/>
  <c r="G19" i="11"/>
  <c r="G18" i="11"/>
  <c r="G17" i="11"/>
  <c r="G16" i="11"/>
  <c r="G15" i="11"/>
  <c r="G26" i="11"/>
  <c r="I26" i="11" s="1"/>
  <c r="G7" i="11"/>
  <c r="I7" i="11" s="1"/>
  <c r="G6" i="11"/>
  <c r="I6" i="11" s="1"/>
  <c r="G5" i="11"/>
  <c r="I5" i="11" s="1"/>
  <c r="G4" i="11"/>
  <c r="I4" i="11" s="1"/>
  <c r="G475" i="9"/>
  <c r="C475" i="9"/>
  <c r="F466" i="9"/>
  <c r="E465" i="9"/>
  <c r="E475" i="9" s="1"/>
  <c r="M4" i="11" l="1"/>
  <c r="M70" i="11" s="1"/>
  <c r="N5" i="11"/>
  <c r="P5" i="11" s="1"/>
  <c r="I14" i="11"/>
  <c r="N14" i="11" s="1"/>
  <c r="P14" i="11" s="1"/>
  <c r="I23" i="11"/>
  <c r="N23" i="11" s="1"/>
  <c r="P23" i="11" s="1"/>
  <c r="I31" i="11"/>
  <c r="I27" i="11"/>
  <c r="N26" i="11" s="1"/>
  <c r="I20" i="11"/>
  <c r="I17" i="11"/>
  <c r="N17" i="11" s="1"/>
  <c r="P17" i="11" s="1"/>
  <c r="F475" i="9"/>
  <c r="G478" i="9" s="1"/>
  <c r="G70" i="11"/>
  <c r="G443" i="9"/>
  <c r="F443" i="9"/>
  <c r="E436" i="9"/>
  <c r="E443" i="9" s="1"/>
  <c r="P93" i="8"/>
  <c r="R93" i="8" s="1"/>
  <c r="V98" i="8" s="1"/>
  <c r="F451" i="9"/>
  <c r="F457" i="9" s="1"/>
  <c r="C457" i="9"/>
  <c r="G457" i="9"/>
  <c r="E450" i="9"/>
  <c r="E457" i="9" s="1"/>
  <c r="I70" i="11" l="1"/>
  <c r="P26" i="11"/>
  <c r="N31" i="11"/>
  <c r="P31" i="11" s="1"/>
  <c r="N20" i="11"/>
  <c r="P20" i="11" s="1"/>
  <c r="G446" i="9"/>
  <c r="G460" i="9"/>
  <c r="E432" i="9"/>
  <c r="N70" i="11" l="1"/>
  <c r="N72" i="11" s="1"/>
  <c r="C252" i="12" s="1"/>
  <c r="P70" i="11"/>
  <c r="P89" i="8"/>
  <c r="R89" i="8" s="1"/>
  <c r="V92" i="8" s="1"/>
  <c r="P85" i="8"/>
  <c r="R85" i="8" s="1"/>
  <c r="G425" i="9"/>
  <c r="F425" i="9"/>
  <c r="E418" i="9"/>
  <c r="E425" i="9" s="1"/>
  <c r="J70" i="11" l="1"/>
  <c r="G428" i="9"/>
  <c r="C523" i="5"/>
  <c r="V88" i="8" l="1"/>
  <c r="F404" i="9"/>
  <c r="F405" i="9"/>
  <c r="M404" i="9" l="1"/>
  <c r="R404" i="9" s="1"/>
  <c r="M405" i="9"/>
  <c r="N405" i="9" s="1"/>
  <c r="M406" i="9"/>
  <c r="S406" i="9" s="1"/>
  <c r="M407" i="9"/>
  <c r="N407" i="9" s="1"/>
  <c r="P405" i="9"/>
  <c r="Q405" i="9"/>
  <c r="P406" i="9"/>
  <c r="Q406" i="9"/>
  <c r="P407" i="9"/>
  <c r="Q407" i="9"/>
  <c r="M402" i="9"/>
  <c r="R402" i="9" s="1"/>
  <c r="P402" i="9"/>
  <c r="Q402" i="9"/>
  <c r="M403" i="9"/>
  <c r="R403" i="9" s="1"/>
  <c r="P403" i="9"/>
  <c r="Q403" i="9"/>
  <c r="P404" i="9"/>
  <c r="Q404" i="9"/>
  <c r="G409" i="9"/>
  <c r="E402" i="9"/>
  <c r="E409" i="9" s="1"/>
  <c r="R406" i="9" l="1"/>
  <c r="R407" i="9"/>
  <c r="N406" i="9"/>
  <c r="N404" i="9"/>
  <c r="N402" i="9"/>
  <c r="R405" i="9"/>
  <c r="S407" i="9"/>
  <c r="S405" i="9"/>
  <c r="S402" i="9"/>
  <c r="N403" i="9"/>
  <c r="S404" i="9"/>
  <c r="S403" i="9"/>
  <c r="Q409" i="9"/>
  <c r="O409" i="9"/>
  <c r="P409" i="9"/>
  <c r="F409" i="9"/>
  <c r="G412" i="9" s="1"/>
  <c r="F354" i="9"/>
  <c r="F355" i="9"/>
  <c r="S409" i="9" l="1"/>
  <c r="M410" i="9"/>
  <c r="C375" i="9"/>
  <c r="E371" i="9"/>
  <c r="M389" i="9"/>
  <c r="M390" i="9"/>
  <c r="P390" i="9"/>
  <c r="Q390" i="9"/>
  <c r="M391" i="9"/>
  <c r="P391" i="9"/>
  <c r="Q391" i="9"/>
  <c r="M392" i="9"/>
  <c r="P392" i="9"/>
  <c r="Q392" i="9"/>
  <c r="M393" i="9"/>
  <c r="P393" i="9"/>
  <c r="Q393" i="9"/>
  <c r="M394" i="9"/>
  <c r="P394" i="9"/>
  <c r="Q394" i="9"/>
  <c r="M395" i="9"/>
  <c r="P395" i="9"/>
  <c r="Q395" i="9"/>
  <c r="O373" i="9"/>
  <c r="P373" i="9" s="1"/>
  <c r="M373" i="9"/>
  <c r="M374" i="9"/>
  <c r="P374" i="9"/>
  <c r="Q374" i="9"/>
  <c r="M375" i="9"/>
  <c r="P375" i="9"/>
  <c r="Q375" i="9"/>
  <c r="M376" i="9"/>
  <c r="P376" i="9"/>
  <c r="Q376" i="9"/>
  <c r="M377" i="9"/>
  <c r="P377" i="9"/>
  <c r="Q377" i="9"/>
  <c r="M378" i="9"/>
  <c r="P378" i="9"/>
  <c r="Q378" i="9"/>
  <c r="M379" i="9"/>
  <c r="P379" i="9"/>
  <c r="Q379" i="9"/>
  <c r="M380" i="9"/>
  <c r="P380" i="9"/>
  <c r="Q380" i="9"/>
  <c r="M381" i="9"/>
  <c r="P381" i="9"/>
  <c r="Q381" i="9"/>
  <c r="M382" i="9"/>
  <c r="P382" i="9"/>
  <c r="Q382" i="9"/>
  <c r="M383" i="9"/>
  <c r="P383" i="9"/>
  <c r="Q383" i="9"/>
  <c r="M384" i="9"/>
  <c r="P384" i="9"/>
  <c r="Q384" i="9"/>
  <c r="M385" i="9"/>
  <c r="P385" i="9"/>
  <c r="Q385" i="9"/>
  <c r="M386" i="9"/>
  <c r="P386" i="9"/>
  <c r="Q386" i="9"/>
  <c r="M387" i="9"/>
  <c r="P387" i="9"/>
  <c r="Q387" i="9"/>
  <c r="M388" i="9"/>
  <c r="P388" i="9"/>
  <c r="Q388" i="9"/>
  <c r="P389" i="9"/>
  <c r="Q389" i="9"/>
  <c r="O355" i="9"/>
  <c r="Q355" i="9" s="1"/>
  <c r="M355" i="9"/>
  <c r="M356" i="9"/>
  <c r="P356" i="9"/>
  <c r="Q356" i="9"/>
  <c r="M357" i="9"/>
  <c r="P357" i="9"/>
  <c r="Q357" i="9"/>
  <c r="M358" i="9"/>
  <c r="P358" i="9"/>
  <c r="Q358" i="9"/>
  <c r="M359" i="9"/>
  <c r="P359" i="9"/>
  <c r="Q359" i="9"/>
  <c r="M360" i="9"/>
  <c r="P360" i="9"/>
  <c r="Q360" i="9"/>
  <c r="M361" i="9"/>
  <c r="P361" i="9"/>
  <c r="Q361" i="9"/>
  <c r="M362" i="9"/>
  <c r="P362" i="9"/>
  <c r="Q362" i="9"/>
  <c r="M363" i="9"/>
  <c r="P363" i="9"/>
  <c r="Q363" i="9"/>
  <c r="M364" i="9"/>
  <c r="P364" i="9"/>
  <c r="Q364" i="9"/>
  <c r="M365" i="9"/>
  <c r="P365" i="9"/>
  <c r="Q365" i="9"/>
  <c r="M366" i="9"/>
  <c r="P366" i="9"/>
  <c r="Q366" i="9"/>
  <c r="M367" i="9"/>
  <c r="P367" i="9"/>
  <c r="Q367" i="9"/>
  <c r="M368" i="9"/>
  <c r="P368" i="9"/>
  <c r="Q368" i="9"/>
  <c r="M369" i="9"/>
  <c r="P369" i="9"/>
  <c r="Q369" i="9"/>
  <c r="M370" i="9"/>
  <c r="P370" i="9"/>
  <c r="Q370" i="9"/>
  <c r="M371" i="9"/>
  <c r="P371" i="9"/>
  <c r="Q371" i="9"/>
  <c r="M372" i="9"/>
  <c r="P372" i="9"/>
  <c r="Q372" i="9"/>
  <c r="Q354" i="9"/>
  <c r="P354" i="9"/>
  <c r="M354" i="9"/>
  <c r="O353" i="9"/>
  <c r="Q353" i="9" s="1"/>
  <c r="M353" i="9"/>
  <c r="G362" i="9"/>
  <c r="F292" i="9"/>
  <c r="F290" i="9"/>
  <c r="Q352" i="9"/>
  <c r="P352" i="9"/>
  <c r="M352" i="9"/>
  <c r="E352" i="9"/>
  <c r="O326" i="9"/>
  <c r="Q326" i="9" s="1"/>
  <c r="M326" i="9"/>
  <c r="N326" i="9" s="1"/>
  <c r="P326" i="9"/>
  <c r="M327" i="9"/>
  <c r="N327" i="9" s="1"/>
  <c r="P327" i="9"/>
  <c r="Q327" i="9"/>
  <c r="M328" i="9"/>
  <c r="N328" i="9" s="1"/>
  <c r="P328" i="9"/>
  <c r="Q328" i="9"/>
  <c r="M329" i="9"/>
  <c r="N329" i="9" s="1"/>
  <c r="P329" i="9"/>
  <c r="Q329" i="9"/>
  <c r="M330" i="9"/>
  <c r="N330" i="9" s="1"/>
  <c r="P330" i="9"/>
  <c r="Q330" i="9"/>
  <c r="M331" i="9"/>
  <c r="N331" i="9" s="1"/>
  <c r="P331" i="9"/>
  <c r="Q331" i="9"/>
  <c r="M332" i="9"/>
  <c r="N332" i="9" s="1"/>
  <c r="P332" i="9"/>
  <c r="Q332" i="9"/>
  <c r="M333" i="9"/>
  <c r="N333" i="9" s="1"/>
  <c r="P333" i="9"/>
  <c r="Q333" i="9"/>
  <c r="M334" i="9"/>
  <c r="S334" i="9" s="1"/>
  <c r="P334" i="9"/>
  <c r="Q334" i="9"/>
  <c r="M335" i="9"/>
  <c r="R335" i="9" s="1"/>
  <c r="P335" i="9"/>
  <c r="Q335" i="9"/>
  <c r="M336" i="9"/>
  <c r="N336" i="9" s="1"/>
  <c r="O336" i="9"/>
  <c r="Q336" i="9" s="1"/>
  <c r="P336" i="9"/>
  <c r="M337" i="9"/>
  <c r="R337" i="9" s="1"/>
  <c r="P337" i="9"/>
  <c r="Q337" i="9"/>
  <c r="M338" i="9"/>
  <c r="N338" i="9" s="1"/>
  <c r="P338" i="9"/>
  <c r="Q338" i="9"/>
  <c r="M339" i="9"/>
  <c r="N339" i="9" s="1"/>
  <c r="P339" i="9"/>
  <c r="Q339" i="9"/>
  <c r="M340" i="9"/>
  <c r="N340" i="9" s="1"/>
  <c r="P340" i="9"/>
  <c r="Q340" i="9"/>
  <c r="M341" i="9"/>
  <c r="N341" i="9" s="1"/>
  <c r="P341" i="9"/>
  <c r="Q341" i="9"/>
  <c r="M342" i="9"/>
  <c r="R342" i="9" s="1"/>
  <c r="P342" i="9"/>
  <c r="Q342" i="9"/>
  <c r="M343" i="9"/>
  <c r="N343" i="9" s="1"/>
  <c r="P343" i="9"/>
  <c r="Q343" i="9"/>
  <c r="O293" i="9"/>
  <c r="Q293" i="9" s="1"/>
  <c r="M293" i="9"/>
  <c r="N293" i="9" s="1"/>
  <c r="P293" i="9"/>
  <c r="M294" i="9"/>
  <c r="N294" i="9" s="1"/>
  <c r="P294" i="9"/>
  <c r="Q294" i="9"/>
  <c r="M295" i="9"/>
  <c r="N295" i="9" s="1"/>
  <c r="P295" i="9"/>
  <c r="Q295" i="9"/>
  <c r="M296" i="9"/>
  <c r="N296" i="9" s="1"/>
  <c r="P296" i="9"/>
  <c r="Q296" i="9"/>
  <c r="M297" i="9"/>
  <c r="N297" i="9" s="1"/>
  <c r="P297" i="9"/>
  <c r="Q297" i="9"/>
  <c r="M298" i="9"/>
  <c r="N298" i="9" s="1"/>
  <c r="P298" i="9"/>
  <c r="Q298" i="9"/>
  <c r="M299" i="9"/>
  <c r="N299" i="9" s="1"/>
  <c r="P299" i="9"/>
  <c r="Q299" i="9"/>
  <c r="M300" i="9"/>
  <c r="N300" i="9" s="1"/>
  <c r="P300" i="9"/>
  <c r="Q300" i="9"/>
  <c r="M301" i="9"/>
  <c r="N301" i="9" s="1"/>
  <c r="P301" i="9"/>
  <c r="Q301" i="9"/>
  <c r="M302" i="9"/>
  <c r="N302" i="9" s="1"/>
  <c r="O302" i="9"/>
  <c r="Q302" i="9" s="1"/>
  <c r="P302" i="9"/>
  <c r="M303" i="9"/>
  <c r="N303" i="9" s="1"/>
  <c r="P303" i="9"/>
  <c r="Q303" i="9"/>
  <c r="M304" i="9"/>
  <c r="N304" i="9" s="1"/>
  <c r="P304" i="9"/>
  <c r="Q304" i="9"/>
  <c r="M305" i="9"/>
  <c r="N305" i="9" s="1"/>
  <c r="O305" i="9"/>
  <c r="Q305" i="9" s="1"/>
  <c r="P305" i="9"/>
  <c r="M306" i="9"/>
  <c r="N306" i="9" s="1"/>
  <c r="P306" i="9"/>
  <c r="Q306" i="9"/>
  <c r="M307" i="9"/>
  <c r="N307" i="9" s="1"/>
  <c r="P307" i="9"/>
  <c r="Q307" i="9"/>
  <c r="M308" i="9"/>
  <c r="N308" i="9" s="1"/>
  <c r="P308" i="9"/>
  <c r="Q308" i="9"/>
  <c r="M309" i="9"/>
  <c r="N309" i="9" s="1"/>
  <c r="P309" i="9"/>
  <c r="Q309" i="9"/>
  <c r="M310" i="9"/>
  <c r="N310" i="9" s="1"/>
  <c r="P310" i="9"/>
  <c r="Q310" i="9"/>
  <c r="M311" i="9"/>
  <c r="N311" i="9" s="1"/>
  <c r="P311" i="9"/>
  <c r="Q311" i="9"/>
  <c r="M312" i="9"/>
  <c r="N312" i="9" s="1"/>
  <c r="P312" i="9"/>
  <c r="Q312" i="9"/>
  <c r="M313" i="9"/>
  <c r="N313" i="9" s="1"/>
  <c r="P313" i="9"/>
  <c r="Q313" i="9"/>
  <c r="M314" i="9"/>
  <c r="N314" i="9" s="1"/>
  <c r="P314" i="9"/>
  <c r="Q314" i="9"/>
  <c r="M315" i="9"/>
  <c r="N315" i="9" s="1"/>
  <c r="P315" i="9"/>
  <c r="Q315" i="9"/>
  <c r="M316" i="9"/>
  <c r="N316" i="9" s="1"/>
  <c r="P316" i="9"/>
  <c r="Q316" i="9"/>
  <c r="M317" i="9"/>
  <c r="N317" i="9" s="1"/>
  <c r="P317" i="9"/>
  <c r="Q317" i="9"/>
  <c r="M318" i="9"/>
  <c r="N318" i="9" s="1"/>
  <c r="P318" i="9"/>
  <c r="Q318" i="9"/>
  <c r="M319" i="9"/>
  <c r="N319" i="9" s="1"/>
  <c r="P319" i="9"/>
  <c r="Q319" i="9"/>
  <c r="M320" i="9"/>
  <c r="N320" i="9" s="1"/>
  <c r="P320" i="9"/>
  <c r="Q320" i="9"/>
  <c r="M321" i="9"/>
  <c r="N321" i="9" s="1"/>
  <c r="P321" i="9"/>
  <c r="Q321" i="9"/>
  <c r="M322" i="9"/>
  <c r="N322" i="9" s="1"/>
  <c r="P322" i="9"/>
  <c r="Q322" i="9"/>
  <c r="M323" i="9"/>
  <c r="N323" i="9" s="1"/>
  <c r="P323" i="9"/>
  <c r="Q323" i="9"/>
  <c r="M324" i="9"/>
  <c r="R324" i="9" s="1"/>
  <c r="O324" i="9"/>
  <c r="Q324" i="9" s="1"/>
  <c r="P324" i="9"/>
  <c r="M325" i="9"/>
  <c r="N325" i="9" s="1"/>
  <c r="P325" i="9"/>
  <c r="Q325" i="9"/>
  <c r="O290" i="9"/>
  <c r="P290" i="9" s="1"/>
  <c r="O288" i="9"/>
  <c r="P288" i="9" s="1"/>
  <c r="Q289" i="9"/>
  <c r="P289" i="9"/>
  <c r="M289" i="9"/>
  <c r="N289" i="9" s="1"/>
  <c r="M290" i="9"/>
  <c r="N290" i="9" s="1"/>
  <c r="M291" i="9"/>
  <c r="R291" i="9" s="1"/>
  <c r="P291" i="9"/>
  <c r="Q291" i="9"/>
  <c r="M292" i="9"/>
  <c r="N292" i="9" s="1"/>
  <c r="P292" i="9"/>
  <c r="Q292" i="9"/>
  <c r="P344" i="9"/>
  <c r="S330" i="9" l="1"/>
  <c r="R370" i="9"/>
  <c r="N370" i="9"/>
  <c r="R366" i="9"/>
  <c r="N366" i="9"/>
  <c r="R362" i="9"/>
  <c r="N362" i="9"/>
  <c r="R358" i="9"/>
  <c r="N358" i="9"/>
  <c r="R387" i="9"/>
  <c r="N387" i="9"/>
  <c r="R383" i="9"/>
  <c r="N383" i="9"/>
  <c r="R379" i="9"/>
  <c r="N379" i="9"/>
  <c r="R375" i="9"/>
  <c r="N375" i="9"/>
  <c r="R373" i="9"/>
  <c r="N373" i="9"/>
  <c r="R395" i="9"/>
  <c r="N395" i="9"/>
  <c r="S391" i="9"/>
  <c r="R391" i="9"/>
  <c r="N391" i="9"/>
  <c r="S389" i="9"/>
  <c r="R389" i="9"/>
  <c r="N389" i="9"/>
  <c r="R352" i="9"/>
  <c r="N352" i="9"/>
  <c r="R354" i="9"/>
  <c r="N354" i="9"/>
  <c r="R371" i="9"/>
  <c r="N371" i="9"/>
  <c r="R367" i="9"/>
  <c r="N367" i="9"/>
  <c r="R363" i="9"/>
  <c r="N363" i="9"/>
  <c r="R359" i="9"/>
  <c r="N359" i="9"/>
  <c r="R388" i="9"/>
  <c r="N388" i="9"/>
  <c r="R384" i="9"/>
  <c r="N384" i="9"/>
  <c r="R380" i="9"/>
  <c r="N380" i="9"/>
  <c r="N376" i="9"/>
  <c r="R376" i="9"/>
  <c r="R392" i="9"/>
  <c r="N392" i="9"/>
  <c r="R372" i="9"/>
  <c r="N372" i="9"/>
  <c r="N368" i="9"/>
  <c r="R368" i="9"/>
  <c r="R364" i="9"/>
  <c r="N364" i="9"/>
  <c r="R360" i="9"/>
  <c r="N360" i="9"/>
  <c r="N356" i="9"/>
  <c r="R356" i="9"/>
  <c r="R385" i="9"/>
  <c r="N385" i="9"/>
  <c r="R381" i="9"/>
  <c r="N381" i="9"/>
  <c r="R377" i="9"/>
  <c r="N377" i="9"/>
  <c r="R393" i="9"/>
  <c r="N393" i="9"/>
  <c r="R353" i="9"/>
  <c r="N353" i="9"/>
  <c r="R369" i="9"/>
  <c r="N369" i="9"/>
  <c r="R365" i="9"/>
  <c r="N365" i="9"/>
  <c r="R361" i="9"/>
  <c r="N361" i="9"/>
  <c r="R357" i="9"/>
  <c r="N357" i="9"/>
  <c r="R355" i="9"/>
  <c r="N355" i="9"/>
  <c r="R386" i="9"/>
  <c r="N386" i="9"/>
  <c r="R382" i="9"/>
  <c r="N382" i="9"/>
  <c r="R378" i="9"/>
  <c r="N378" i="9"/>
  <c r="R374" i="9"/>
  <c r="N374" i="9"/>
  <c r="R394" i="9"/>
  <c r="N394" i="9"/>
  <c r="S390" i="9"/>
  <c r="R390" i="9"/>
  <c r="N390" i="9"/>
  <c r="Q373" i="9"/>
  <c r="F371" i="9"/>
  <c r="F372" i="9" s="1"/>
  <c r="P353" i="9"/>
  <c r="P355" i="9"/>
  <c r="O397" i="9"/>
  <c r="R297" i="9"/>
  <c r="S297" i="9"/>
  <c r="R305" i="9"/>
  <c r="S293" i="9"/>
  <c r="R293" i="9"/>
  <c r="R334" i="9"/>
  <c r="R333" i="9"/>
  <c r="R332" i="9"/>
  <c r="R331" i="9"/>
  <c r="R330" i="9"/>
  <c r="R329" i="9"/>
  <c r="R341" i="9"/>
  <c r="R340" i="9"/>
  <c r="R320" i="9"/>
  <c r="R338" i="9"/>
  <c r="Q397" i="9"/>
  <c r="S320" i="9"/>
  <c r="N337" i="9"/>
  <c r="N335" i="9"/>
  <c r="R312" i="9"/>
  <c r="R328" i="9"/>
  <c r="R327" i="9"/>
  <c r="R326" i="9"/>
  <c r="R308" i="9"/>
  <c r="Q290" i="9"/>
  <c r="R314" i="9"/>
  <c r="R313" i="9"/>
  <c r="S312" i="9"/>
  <c r="N342" i="9"/>
  <c r="R339" i="9"/>
  <c r="N334" i="9"/>
  <c r="R343" i="9"/>
  <c r="S339" i="9"/>
  <c r="R336" i="9"/>
  <c r="S328" i="9"/>
  <c r="S326" i="9"/>
  <c r="R325" i="9"/>
  <c r="S325" i="9" s="1"/>
  <c r="S324" i="9"/>
  <c r="R318" i="9"/>
  <c r="R303" i="9"/>
  <c r="R301" i="9"/>
  <c r="N291" i="9"/>
  <c r="S291" i="9" s="1"/>
  <c r="S337" i="9"/>
  <c r="S308" i="9"/>
  <c r="R322" i="9"/>
  <c r="R321" i="9"/>
  <c r="R316" i="9"/>
  <c r="R299" i="9"/>
  <c r="R298" i="9"/>
  <c r="S332" i="9"/>
  <c r="N324" i="9"/>
  <c r="R306" i="9"/>
  <c r="S305" i="9"/>
  <c r="S316" i="9"/>
  <c r="S301" i="9"/>
  <c r="R310" i="9"/>
  <c r="R309" i="9"/>
  <c r="R295" i="9"/>
  <c r="R294" i="9"/>
  <c r="S341" i="9"/>
  <c r="S335" i="9"/>
  <c r="R323" i="9"/>
  <c r="S322" i="9"/>
  <c r="R319" i="9"/>
  <c r="S318" i="9"/>
  <c r="R315" i="9"/>
  <c r="S314" i="9"/>
  <c r="R311" i="9"/>
  <c r="S310" i="9"/>
  <c r="R307" i="9"/>
  <c r="S306" i="9"/>
  <c r="R304" i="9"/>
  <c r="S303" i="9"/>
  <c r="R300" i="9"/>
  <c r="S299" i="9"/>
  <c r="R296" i="9"/>
  <c r="S295" i="9"/>
  <c r="R317" i="9"/>
  <c r="S333" i="9"/>
  <c r="S331" i="9"/>
  <c r="S329" i="9"/>
  <c r="S327" i="9"/>
  <c r="S304" i="9"/>
  <c r="S302" i="9"/>
  <c r="S342" i="9"/>
  <c r="S340" i="9"/>
  <c r="S338" i="9"/>
  <c r="S336" i="9"/>
  <c r="S323" i="9"/>
  <c r="S321" i="9"/>
  <c r="S319" i="9"/>
  <c r="S317" i="9"/>
  <c r="S315" i="9"/>
  <c r="S313" i="9"/>
  <c r="S311" i="9"/>
  <c r="S309" i="9"/>
  <c r="S307" i="9"/>
  <c r="R302" i="9"/>
  <c r="S300" i="9"/>
  <c r="S298" i="9"/>
  <c r="S296" i="9"/>
  <c r="S294" i="9"/>
  <c r="R289" i="9"/>
  <c r="S289" i="9" s="1"/>
  <c r="R292" i="9"/>
  <c r="S292" i="9" s="1"/>
  <c r="R290" i="9"/>
  <c r="P346" i="9"/>
  <c r="Q344" i="9"/>
  <c r="M344" i="9"/>
  <c r="R344" i="9" s="1"/>
  <c r="S343" i="9"/>
  <c r="S385" i="9" l="1"/>
  <c r="S360" i="9"/>
  <c r="S363" i="9"/>
  <c r="S352" i="9"/>
  <c r="S375" i="9"/>
  <c r="S383" i="9"/>
  <c r="S358" i="9"/>
  <c r="S366" i="9"/>
  <c r="S379" i="9"/>
  <c r="S387" i="9"/>
  <c r="S362" i="9"/>
  <c r="S370" i="9"/>
  <c r="S355" i="9"/>
  <c r="S374" i="9"/>
  <c r="S369" i="9"/>
  <c r="S381" i="9"/>
  <c r="S364" i="9"/>
  <c r="S367" i="9"/>
  <c r="P397" i="9"/>
  <c r="M398" i="9" s="1"/>
  <c r="S394" i="9"/>
  <c r="S368" i="9"/>
  <c r="S392" i="9"/>
  <c r="S388" i="9"/>
  <c r="S371" i="9"/>
  <c r="S382" i="9"/>
  <c r="S393" i="9"/>
  <c r="S356" i="9"/>
  <c r="S354" i="9"/>
  <c r="S373" i="9"/>
  <c r="S361" i="9"/>
  <c r="S353" i="9"/>
  <c r="S377" i="9"/>
  <c r="S372" i="9"/>
  <c r="S376" i="9"/>
  <c r="S384" i="9"/>
  <c r="S359" i="9"/>
  <c r="S395" i="9"/>
  <c r="S378" i="9"/>
  <c r="S386" i="9"/>
  <c r="S380" i="9"/>
  <c r="S357" i="9"/>
  <c r="S365" i="9"/>
  <c r="S290" i="9"/>
  <c r="S344" i="9"/>
  <c r="N344" i="9"/>
  <c r="G142" i="8"/>
  <c r="I142" i="8" s="1"/>
  <c r="G141" i="8"/>
  <c r="I141" i="8" s="1"/>
  <c r="J141" i="8" s="1"/>
  <c r="G140" i="8"/>
  <c r="I140" i="8" s="1"/>
  <c r="G139" i="8"/>
  <c r="I139" i="8" s="1"/>
  <c r="G138" i="8"/>
  <c r="I138" i="8" s="1"/>
  <c r="G137" i="8"/>
  <c r="I137" i="8" s="1"/>
  <c r="G136" i="8"/>
  <c r="I136" i="8" s="1"/>
  <c r="G135" i="8"/>
  <c r="I135" i="8" s="1"/>
  <c r="G134" i="8"/>
  <c r="I134" i="8" s="1"/>
  <c r="G133" i="8"/>
  <c r="I133" i="8" s="1"/>
  <c r="G132" i="8"/>
  <c r="I132" i="8" s="1"/>
  <c r="G131" i="8"/>
  <c r="I131" i="8" s="1"/>
  <c r="G130" i="8"/>
  <c r="I130" i="8" s="1"/>
  <c r="G129" i="8"/>
  <c r="I129" i="8" s="1"/>
  <c r="G128" i="8"/>
  <c r="I128" i="8" s="1"/>
  <c r="G127" i="8"/>
  <c r="I127" i="8" s="1"/>
  <c r="G158" i="8"/>
  <c r="I158" i="8" s="1"/>
  <c r="G157" i="8"/>
  <c r="I157" i="8" s="1"/>
  <c r="G156" i="8"/>
  <c r="I156" i="8" s="1"/>
  <c r="G155" i="8"/>
  <c r="I155" i="8" s="1"/>
  <c r="G154" i="8"/>
  <c r="I154" i="8" s="1"/>
  <c r="G153" i="8"/>
  <c r="I153" i="8" s="1"/>
  <c r="G152" i="8"/>
  <c r="I152" i="8" s="1"/>
  <c r="G151" i="8"/>
  <c r="I151" i="8" s="1"/>
  <c r="G148" i="8"/>
  <c r="I148" i="8" s="1"/>
  <c r="G147" i="8"/>
  <c r="I147" i="8" s="1"/>
  <c r="G146" i="8"/>
  <c r="I146" i="8" s="1"/>
  <c r="G145" i="8"/>
  <c r="I145" i="8" s="1"/>
  <c r="G144" i="8"/>
  <c r="I144" i="8" s="1"/>
  <c r="G143" i="8"/>
  <c r="I143" i="8" s="1"/>
  <c r="G150" i="8"/>
  <c r="I150" i="8" s="1"/>
  <c r="G149" i="8"/>
  <c r="I149" i="8" s="1"/>
  <c r="G166" i="8"/>
  <c r="I166" i="8" s="1"/>
  <c r="G165" i="8"/>
  <c r="I165" i="8" s="1"/>
  <c r="G164" i="8"/>
  <c r="I164" i="8" s="1"/>
  <c r="G163" i="8"/>
  <c r="I163" i="8" s="1"/>
  <c r="G162" i="8"/>
  <c r="I162" i="8" s="1"/>
  <c r="G161" i="8"/>
  <c r="I161" i="8" s="1"/>
  <c r="G160" i="8"/>
  <c r="I160" i="8" s="1"/>
  <c r="G159" i="8"/>
  <c r="I159" i="8" s="1"/>
  <c r="G167" i="8"/>
  <c r="I167" i="8" s="1"/>
  <c r="G168" i="8"/>
  <c r="I168" i="8" s="1"/>
  <c r="G211" i="8"/>
  <c r="I211" i="8" s="1"/>
  <c r="G212" i="8"/>
  <c r="I212" i="8" s="1"/>
  <c r="G213" i="8"/>
  <c r="I213" i="8" s="1"/>
  <c r="G214" i="8"/>
  <c r="I214" i="8" s="1"/>
  <c r="G215" i="8"/>
  <c r="I215" i="8" s="1"/>
  <c r="G216" i="8"/>
  <c r="I216" i="8" s="1"/>
  <c r="P75" i="8"/>
  <c r="R75" i="8" s="1"/>
  <c r="J139" i="8" l="1"/>
  <c r="J143" i="8"/>
  <c r="M141" i="8" s="1"/>
  <c r="J153" i="8"/>
  <c r="J157" i="8"/>
  <c r="N157" i="8" s="1"/>
  <c r="P157" i="8" s="1"/>
  <c r="R157" i="8" s="1"/>
  <c r="J163" i="8"/>
  <c r="N163" i="8" s="1"/>
  <c r="P163" i="8" s="1"/>
  <c r="R163" i="8" s="1"/>
  <c r="J149" i="8"/>
  <c r="J151" i="8"/>
  <c r="S397" i="9"/>
  <c r="F356" i="9" s="1"/>
  <c r="K121" i="8" s="1"/>
  <c r="J127" i="8"/>
  <c r="N127" i="8" s="1"/>
  <c r="P127" i="8" s="1"/>
  <c r="R127" i="8" s="1"/>
  <c r="J133" i="8"/>
  <c r="G299" i="9"/>
  <c r="E288" i="9"/>
  <c r="E299" i="9" s="1"/>
  <c r="M133" i="8" l="1"/>
  <c r="M149" i="8"/>
  <c r="F362" i="9"/>
  <c r="O346" i="9"/>
  <c r="M347" i="9" s="1"/>
  <c r="Q288" i="9"/>
  <c r="M288" i="9"/>
  <c r="M277" i="9"/>
  <c r="N277" i="9" s="1"/>
  <c r="M278" i="9"/>
  <c r="N278" i="9" s="1"/>
  <c r="M279" i="9"/>
  <c r="N279" i="9" s="1"/>
  <c r="M280" i="9"/>
  <c r="N280" i="9" s="1"/>
  <c r="M281" i="9"/>
  <c r="N281" i="9" s="1"/>
  <c r="O278" i="9"/>
  <c r="O272" i="9"/>
  <c r="M272" i="9"/>
  <c r="N272" i="9" s="1"/>
  <c r="M273" i="9"/>
  <c r="N273" i="9" s="1"/>
  <c r="M274" i="9"/>
  <c r="N274" i="9" s="1"/>
  <c r="M275" i="9"/>
  <c r="N275" i="9" s="1"/>
  <c r="M276" i="9"/>
  <c r="N276" i="9" s="1"/>
  <c r="R288" i="9" l="1"/>
  <c r="Q346" i="9"/>
  <c r="N288" i="9"/>
  <c r="K95" i="8"/>
  <c r="S288" i="9" l="1"/>
  <c r="S346" i="9" s="1"/>
  <c r="F291" i="9" s="1"/>
  <c r="K115" i="8" s="1"/>
  <c r="F270" i="9"/>
  <c r="F272" i="9"/>
  <c r="M271" i="9"/>
  <c r="N271" i="9" s="1"/>
  <c r="M270" i="9"/>
  <c r="R270" i="9" s="1"/>
  <c r="M269" i="9"/>
  <c r="N269" i="9" s="1"/>
  <c r="M268" i="9"/>
  <c r="N268" i="9" s="1"/>
  <c r="R281" i="9"/>
  <c r="Q281" i="9"/>
  <c r="Q280" i="9"/>
  <c r="Q279" i="9"/>
  <c r="R278" i="9"/>
  <c r="Q278" i="9"/>
  <c r="Q277" i="9"/>
  <c r="R277" i="9"/>
  <c r="Q276" i="9"/>
  <c r="Q275" i="9"/>
  <c r="Q274" i="9"/>
  <c r="R273" i="9"/>
  <c r="Q273" i="9"/>
  <c r="Q272" i="9"/>
  <c r="Q271" i="9"/>
  <c r="Q270" i="9"/>
  <c r="O283" i="9"/>
  <c r="Q268" i="9"/>
  <c r="G278" i="9"/>
  <c r="E268" i="9"/>
  <c r="E278" i="9" s="1"/>
  <c r="P69" i="8"/>
  <c r="R69" i="8" s="1"/>
  <c r="F299" i="9" l="1"/>
  <c r="G302" i="9" s="1"/>
  <c r="E353" i="9" s="1"/>
  <c r="V80" i="8"/>
  <c r="S277" i="9"/>
  <c r="N270" i="9"/>
  <c r="R272" i="9"/>
  <c r="S272" i="9" s="1"/>
  <c r="R276" i="9"/>
  <c r="S276" i="9" s="1"/>
  <c r="R268" i="9"/>
  <c r="S268" i="9" s="1"/>
  <c r="R271" i="9"/>
  <c r="S271" i="9" s="1"/>
  <c r="R274" i="9"/>
  <c r="S274" i="9" s="1"/>
  <c r="R280" i="9"/>
  <c r="S280" i="9" s="1"/>
  <c r="S278" i="9"/>
  <c r="S270" i="9"/>
  <c r="R279" i="9"/>
  <c r="S279" i="9" s="1"/>
  <c r="S281" i="9"/>
  <c r="Q269" i="9"/>
  <c r="Q283" i="9" s="1"/>
  <c r="S273" i="9"/>
  <c r="R269" i="9"/>
  <c r="R275" i="9"/>
  <c r="S275" i="9" s="1"/>
  <c r="G260" i="9"/>
  <c r="F260" i="9"/>
  <c r="E251" i="9"/>
  <c r="E260" i="9" s="1"/>
  <c r="E362" i="9" l="1"/>
  <c r="G365" i="9" s="1"/>
  <c r="E373" i="9" s="1"/>
  <c r="S269" i="9"/>
  <c r="S283" i="9" s="1"/>
  <c r="F271" i="9" s="1"/>
  <c r="K105" i="8" s="1"/>
  <c r="G263" i="9"/>
  <c r="E375" i="9" l="1"/>
  <c r="F375" i="9" s="1"/>
  <c r="F373" i="9"/>
  <c r="F278" i="9"/>
  <c r="G281" i="9" s="1"/>
  <c r="V74" i="8"/>
  <c r="M240" i="9"/>
  <c r="R240" i="9" s="1"/>
  <c r="Q240" i="9"/>
  <c r="C246" i="9"/>
  <c r="E234" i="9"/>
  <c r="E246" i="9" s="1"/>
  <c r="M242" i="9"/>
  <c r="N242" i="9" s="1"/>
  <c r="M241" i="9"/>
  <c r="N241" i="9" s="1"/>
  <c r="M239" i="9"/>
  <c r="N239" i="9" s="1"/>
  <c r="M238" i="9"/>
  <c r="N238" i="9" s="1"/>
  <c r="M237" i="9"/>
  <c r="N237" i="9" s="1"/>
  <c r="M236" i="9"/>
  <c r="N236" i="9" s="1"/>
  <c r="M235" i="9"/>
  <c r="N235" i="9" s="1"/>
  <c r="Q234" i="9"/>
  <c r="M234" i="9"/>
  <c r="N234" i="9" s="1"/>
  <c r="M211" i="9"/>
  <c r="N211" i="9" s="1"/>
  <c r="M212" i="9"/>
  <c r="N212" i="9" s="1"/>
  <c r="M213" i="9"/>
  <c r="N213" i="9" s="1"/>
  <c r="M214" i="9"/>
  <c r="N214" i="9" s="1"/>
  <c r="M215" i="9"/>
  <c r="N215" i="9" s="1"/>
  <c r="M216" i="9"/>
  <c r="N216" i="9" s="1"/>
  <c r="M217" i="9"/>
  <c r="N217" i="9" s="1"/>
  <c r="M218" i="9"/>
  <c r="N218" i="9" s="1"/>
  <c r="M219" i="9"/>
  <c r="R219" i="9" s="1"/>
  <c r="M220" i="9"/>
  <c r="N220" i="9" s="1"/>
  <c r="M221" i="9"/>
  <c r="N221" i="9" s="1"/>
  <c r="M222" i="9"/>
  <c r="N222" i="9" s="1"/>
  <c r="M223" i="9"/>
  <c r="N223" i="9" s="1"/>
  <c r="M224" i="9"/>
  <c r="N224" i="9" s="1"/>
  <c r="M225" i="9"/>
  <c r="N225" i="9" s="1"/>
  <c r="M226" i="9"/>
  <c r="N226" i="9" s="1"/>
  <c r="M227" i="9"/>
  <c r="N227" i="9" s="1"/>
  <c r="O224" i="9"/>
  <c r="Q224" i="9" s="1"/>
  <c r="O215" i="9"/>
  <c r="Q215" i="9" s="1"/>
  <c r="O217" i="9"/>
  <c r="Q217" i="9" s="1"/>
  <c r="O218" i="9"/>
  <c r="Q218" i="9" s="1"/>
  <c r="Q243" i="9"/>
  <c r="S243" i="9"/>
  <c r="R242" i="9"/>
  <c r="Q242" i="9"/>
  <c r="Q241" i="9"/>
  <c r="Q239" i="9"/>
  <c r="Q238" i="9"/>
  <c r="Q237" i="9"/>
  <c r="Q236" i="9"/>
  <c r="Q235" i="9"/>
  <c r="M206" i="9"/>
  <c r="R206" i="9" s="1"/>
  <c r="Q206" i="9"/>
  <c r="M207" i="9"/>
  <c r="N207" i="9" s="1"/>
  <c r="O207" i="9"/>
  <c r="Q207" i="9" s="1"/>
  <c r="M208" i="9"/>
  <c r="R208" i="9" s="1"/>
  <c r="Q208" i="9"/>
  <c r="M209" i="9"/>
  <c r="R209" i="9" s="1"/>
  <c r="O209" i="9"/>
  <c r="Q209" i="9" s="1"/>
  <c r="M210" i="9"/>
  <c r="N210" i="9" s="1"/>
  <c r="Q210" i="9"/>
  <c r="Q227" i="9"/>
  <c r="Q226" i="9"/>
  <c r="Q225" i="9"/>
  <c r="Q223" i="9"/>
  <c r="Q222" i="9"/>
  <c r="O213" i="9"/>
  <c r="Q213" i="9" s="1"/>
  <c r="Q211" i="9"/>
  <c r="Q212" i="9"/>
  <c r="Q214" i="9"/>
  <c r="Q216" i="9"/>
  <c r="Q219" i="9"/>
  <c r="Q220" i="9"/>
  <c r="Q221" i="9"/>
  <c r="F210" i="9"/>
  <c r="F208" i="9"/>
  <c r="G218" i="9"/>
  <c r="E206" i="9"/>
  <c r="E218" i="9" s="1"/>
  <c r="G104" i="8"/>
  <c r="I104" i="8" s="1"/>
  <c r="G103" i="8"/>
  <c r="I103" i="8" s="1"/>
  <c r="G102" i="8"/>
  <c r="I102" i="8" s="1"/>
  <c r="G101" i="8"/>
  <c r="I101" i="8" s="1"/>
  <c r="G100" i="8"/>
  <c r="I100" i="8" s="1"/>
  <c r="G99" i="8"/>
  <c r="I99" i="8" s="1"/>
  <c r="R211" i="9" l="1"/>
  <c r="S211" i="9" s="1"/>
  <c r="S235" i="9"/>
  <c r="S238" i="9"/>
  <c r="J99" i="8"/>
  <c r="N99" i="8" s="1"/>
  <c r="P99" i="8" s="1"/>
  <c r="R99" i="8" s="1"/>
  <c r="V104" i="8" s="1"/>
  <c r="R239" i="9"/>
  <c r="S241" i="9"/>
  <c r="S240" i="9"/>
  <c r="R238" i="9"/>
  <c r="N240" i="9"/>
  <c r="F234" i="9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6" i="9" s="1"/>
  <c r="R236" i="9"/>
  <c r="R214" i="9"/>
  <c r="S214" i="9" s="1"/>
  <c r="S236" i="9"/>
  <c r="N219" i="9"/>
  <c r="S219" i="9" s="1"/>
  <c r="S239" i="9"/>
  <c r="S234" i="9"/>
  <c r="R235" i="9"/>
  <c r="S237" i="9"/>
  <c r="S227" i="9"/>
  <c r="R217" i="9"/>
  <c r="S217" i="9" s="1"/>
  <c r="R216" i="9"/>
  <c r="S216" i="9" s="1"/>
  <c r="R220" i="9"/>
  <c r="S220" i="9" s="1"/>
  <c r="R210" i="9"/>
  <c r="S210" i="9" s="1"/>
  <c r="N206" i="9"/>
  <c r="S206" i="9" s="1"/>
  <c r="N209" i="9"/>
  <c r="S209" i="9" s="1"/>
  <c r="N208" i="9"/>
  <c r="S208" i="9" s="1"/>
  <c r="R243" i="9"/>
  <c r="R207" i="9"/>
  <c r="S207" i="9" s="1"/>
  <c r="S242" i="9"/>
  <c r="R241" i="9"/>
  <c r="R234" i="9"/>
  <c r="R237" i="9"/>
  <c r="R215" i="9"/>
  <c r="S215" i="9" s="1"/>
  <c r="R226" i="9"/>
  <c r="S226" i="9" s="1"/>
  <c r="R225" i="9"/>
  <c r="S225" i="9" s="1"/>
  <c r="R222" i="9"/>
  <c r="S222" i="9" s="1"/>
  <c r="R223" i="9"/>
  <c r="S223" i="9" s="1"/>
  <c r="R227" i="9"/>
  <c r="R224" i="9"/>
  <c r="S224" i="9" s="1"/>
  <c r="R221" i="9"/>
  <c r="S221" i="9" s="1"/>
  <c r="O229" i="9"/>
  <c r="R213" i="9"/>
  <c r="S213" i="9" s="1"/>
  <c r="R218" i="9"/>
  <c r="S218" i="9" s="1"/>
  <c r="R212" i="9"/>
  <c r="S212" i="9" s="1"/>
  <c r="Q229" i="9"/>
  <c r="G109" i="10"/>
  <c r="H109" i="10" s="1"/>
  <c r="I109" i="10" l="1"/>
  <c r="S229" i="9"/>
  <c r="F209" i="9" s="1"/>
  <c r="F218" i="9" s="1"/>
  <c r="G221" i="9" s="1"/>
  <c r="E111" i="10"/>
  <c r="G108" i="10"/>
  <c r="H108" i="10" s="1"/>
  <c r="I108" i="10" s="1"/>
  <c r="G107" i="10"/>
  <c r="H107" i="10" s="1"/>
  <c r="I107" i="10" s="1"/>
  <c r="G106" i="10"/>
  <c r="G105" i="10"/>
  <c r="G104" i="10"/>
  <c r="H104" i="10" s="1"/>
  <c r="I104" i="10" s="1"/>
  <c r="G103" i="10"/>
  <c r="H103" i="10" s="1"/>
  <c r="I103" i="10" s="1"/>
  <c r="G102" i="10"/>
  <c r="G101" i="10"/>
  <c r="G100" i="10"/>
  <c r="H100" i="10" s="1"/>
  <c r="I100" i="10" s="1"/>
  <c r="G99" i="10"/>
  <c r="G111" i="10" l="1"/>
  <c r="H99" i="10"/>
  <c r="H102" i="10"/>
  <c r="I102" i="10" s="1"/>
  <c r="H106" i="10"/>
  <c r="I106" i="10" s="1"/>
  <c r="H101" i="10"/>
  <c r="I101" i="10" s="1"/>
  <c r="H105" i="10"/>
  <c r="I105" i="10" s="1"/>
  <c r="G110" i="8"/>
  <c r="I110" i="8" s="1"/>
  <c r="G109" i="8"/>
  <c r="I109" i="8" s="1"/>
  <c r="G108" i="8"/>
  <c r="I108" i="8" s="1"/>
  <c r="G107" i="8"/>
  <c r="I107" i="8" s="1"/>
  <c r="G106" i="8"/>
  <c r="I106" i="8" s="1"/>
  <c r="G105" i="8"/>
  <c r="I105" i="8" s="1"/>
  <c r="G122" i="8"/>
  <c r="I122" i="8" s="1"/>
  <c r="G121" i="8"/>
  <c r="I121" i="8" s="1"/>
  <c r="G120" i="8"/>
  <c r="I120" i="8" s="1"/>
  <c r="G119" i="8"/>
  <c r="I119" i="8" s="1"/>
  <c r="G118" i="8"/>
  <c r="I118" i="8" s="1"/>
  <c r="G117" i="8"/>
  <c r="I117" i="8" s="1"/>
  <c r="G116" i="8"/>
  <c r="I116" i="8" s="1"/>
  <c r="G115" i="8"/>
  <c r="I115" i="8" s="1"/>
  <c r="G114" i="8"/>
  <c r="I114" i="8" s="1"/>
  <c r="G113" i="8"/>
  <c r="I113" i="8" s="1"/>
  <c r="G112" i="8"/>
  <c r="I112" i="8" s="1"/>
  <c r="G111" i="8"/>
  <c r="I111" i="8" s="1"/>
  <c r="G126" i="8"/>
  <c r="I126" i="8" s="1"/>
  <c r="G125" i="8"/>
  <c r="I125" i="8" s="1"/>
  <c r="G124" i="8"/>
  <c r="I124" i="8" s="1"/>
  <c r="G123" i="8"/>
  <c r="I123" i="8" s="1"/>
  <c r="J115" i="8" l="1"/>
  <c r="N115" i="8" s="1"/>
  <c r="P115" i="8" s="1"/>
  <c r="R115" i="8" s="1"/>
  <c r="V120" i="8" s="1"/>
  <c r="J109" i="8"/>
  <c r="N109" i="8" s="1"/>
  <c r="P109" i="8" s="1"/>
  <c r="R109" i="8" s="1"/>
  <c r="V114" i="8" s="1"/>
  <c r="J121" i="8"/>
  <c r="N121" i="8" s="1"/>
  <c r="P121" i="8" s="1"/>
  <c r="R121" i="8" s="1"/>
  <c r="V126" i="8" s="1"/>
  <c r="J105" i="8"/>
  <c r="M105" i="8" s="1"/>
  <c r="I99" i="10"/>
  <c r="H111" i="10"/>
  <c r="M51" i="8"/>
  <c r="G197" i="9" l="1"/>
  <c r="E189" i="9"/>
  <c r="E197" i="9" s="1"/>
  <c r="F177" i="9" l="1"/>
  <c r="F178" i="9"/>
  <c r="F176" i="9"/>
  <c r="G181" i="9" l="1"/>
  <c r="F181" i="9"/>
  <c r="E173" i="9"/>
  <c r="E181" i="9" s="1"/>
  <c r="K85" i="8"/>
  <c r="K63" i="8"/>
  <c r="G184" i="9" l="1"/>
  <c r="F191" i="9" s="1"/>
  <c r="F197" i="9" s="1"/>
  <c r="G200" i="9" s="1"/>
  <c r="F150" i="9"/>
  <c r="F148" i="9"/>
  <c r="M27" i="8" l="1"/>
  <c r="O164" i="9" l="1"/>
  <c r="Q164" i="9" s="1"/>
  <c r="M164" i="9"/>
  <c r="N164" i="9" s="1"/>
  <c r="M165" i="9"/>
  <c r="N165" i="9" s="1"/>
  <c r="M163" i="9"/>
  <c r="N163" i="9" s="1"/>
  <c r="O157" i="9"/>
  <c r="M157" i="9"/>
  <c r="N157" i="9" s="1"/>
  <c r="M158" i="9"/>
  <c r="N158" i="9" s="1"/>
  <c r="M159" i="9"/>
  <c r="N159" i="9" s="1"/>
  <c r="M160" i="9"/>
  <c r="M161" i="9"/>
  <c r="N161" i="9" s="1"/>
  <c r="M162" i="9"/>
  <c r="N162" i="9" s="1"/>
  <c r="Q160" i="9"/>
  <c r="Q161" i="9"/>
  <c r="Q162" i="9"/>
  <c r="Q163" i="9"/>
  <c r="Q165" i="9"/>
  <c r="R162" i="9" l="1"/>
  <c r="S162" i="9" s="1"/>
  <c r="N160" i="9"/>
  <c r="R164" i="9"/>
  <c r="S165" i="9"/>
  <c r="R163" i="9"/>
  <c r="S163" i="9" s="1"/>
  <c r="R165" i="9"/>
  <c r="S164" i="9"/>
  <c r="R161" i="9"/>
  <c r="S161" i="9" s="1"/>
  <c r="R160" i="9"/>
  <c r="M149" i="9"/>
  <c r="R149" i="9" s="1"/>
  <c r="Q149" i="9"/>
  <c r="G156" i="9"/>
  <c r="E146" i="9"/>
  <c r="K37" i="8"/>
  <c r="K45" i="8"/>
  <c r="K57" i="8"/>
  <c r="T40" i="8"/>
  <c r="F105" i="9"/>
  <c r="F103" i="9"/>
  <c r="F101" i="9"/>
  <c r="S160" i="9" l="1"/>
  <c r="N149" i="9"/>
  <c r="S149" i="9" s="1"/>
  <c r="E87" i="10"/>
  <c r="G85" i="10"/>
  <c r="H85" i="10" s="1"/>
  <c r="I85" i="10" s="1"/>
  <c r="G84" i="10"/>
  <c r="H84" i="10" s="1"/>
  <c r="G83" i="10"/>
  <c r="G82" i="10"/>
  <c r="H82" i="10" s="1"/>
  <c r="I82" i="10" s="1"/>
  <c r="G81" i="10"/>
  <c r="H81" i="10" s="1"/>
  <c r="I81" i="10" s="1"/>
  <c r="G80" i="10"/>
  <c r="H80" i="10" s="1"/>
  <c r="G79" i="10"/>
  <c r="G78" i="10"/>
  <c r="H78" i="10" s="1"/>
  <c r="I78" i="10" s="1"/>
  <c r="G77" i="10"/>
  <c r="H77" i="10" s="1"/>
  <c r="I77" i="10" s="1"/>
  <c r="G76" i="10"/>
  <c r="G75" i="10"/>
  <c r="G74" i="10"/>
  <c r="H74" i="10" s="1"/>
  <c r="I74" i="10" s="1"/>
  <c r="G73" i="10"/>
  <c r="H73" i="10" s="1"/>
  <c r="I73" i="10" s="1"/>
  <c r="G72" i="10"/>
  <c r="H72" i="10" s="1"/>
  <c r="G71" i="10"/>
  <c r="G70" i="10"/>
  <c r="G69" i="10"/>
  <c r="H69" i="10" s="1"/>
  <c r="G87" i="10" l="1"/>
  <c r="H76" i="10"/>
  <c r="I76" i="10" s="1"/>
  <c r="H71" i="10"/>
  <c r="I71" i="10" s="1"/>
  <c r="I72" i="10"/>
  <c r="H75" i="10"/>
  <c r="I75" i="10" s="1"/>
  <c r="H79" i="10"/>
  <c r="I79" i="10" s="1"/>
  <c r="I80" i="10"/>
  <c r="H83" i="10"/>
  <c r="I83" i="10" s="1"/>
  <c r="I84" i="10"/>
  <c r="H70" i="10"/>
  <c r="I70" i="10" s="1"/>
  <c r="I69" i="10"/>
  <c r="Q159" i="9"/>
  <c r="Q158" i="9"/>
  <c r="Q157" i="9"/>
  <c r="Q156" i="9"/>
  <c r="M156" i="9"/>
  <c r="Q155" i="9"/>
  <c r="M155" i="9"/>
  <c r="N155" i="9" s="1"/>
  <c r="Q154" i="9"/>
  <c r="M154" i="9"/>
  <c r="Q153" i="9"/>
  <c r="M153" i="9"/>
  <c r="Q152" i="9"/>
  <c r="M152" i="9"/>
  <c r="N152" i="9" s="1"/>
  <c r="Q151" i="9"/>
  <c r="M151" i="9"/>
  <c r="N151" i="9" s="1"/>
  <c r="Q150" i="9"/>
  <c r="M150" i="9"/>
  <c r="O148" i="9"/>
  <c r="Q148" i="9" s="1"/>
  <c r="M148" i="9"/>
  <c r="Q147" i="9"/>
  <c r="M147" i="9"/>
  <c r="Q146" i="9"/>
  <c r="M146" i="9"/>
  <c r="R147" i="9" l="1"/>
  <c r="R150" i="9"/>
  <c r="H87" i="10"/>
  <c r="N154" i="9"/>
  <c r="R159" i="9"/>
  <c r="S159" i="9" s="1"/>
  <c r="N150" i="9"/>
  <c r="R154" i="9"/>
  <c r="R153" i="9"/>
  <c r="N147" i="9"/>
  <c r="R152" i="9"/>
  <c r="S152" i="9" s="1"/>
  <c r="R157" i="9"/>
  <c r="S157" i="9" s="1"/>
  <c r="Q167" i="9"/>
  <c r="R151" i="9"/>
  <c r="S151" i="9" s="1"/>
  <c r="N153" i="9"/>
  <c r="R155" i="9"/>
  <c r="S155" i="9" s="1"/>
  <c r="R158" i="9"/>
  <c r="S158" i="9" s="1"/>
  <c r="R148" i="9"/>
  <c r="O167" i="9"/>
  <c r="R146" i="9"/>
  <c r="N148" i="9"/>
  <c r="R156" i="9"/>
  <c r="N146" i="9"/>
  <c r="N156" i="9"/>
  <c r="S148" i="9" l="1"/>
  <c r="S156" i="9"/>
  <c r="S147" i="9"/>
  <c r="S153" i="9"/>
  <c r="S154" i="9"/>
  <c r="S146" i="9"/>
  <c r="S150" i="9"/>
  <c r="S167" i="9" l="1"/>
  <c r="F149" i="9" s="1"/>
  <c r="F156" i="9" s="1"/>
  <c r="O136" i="9"/>
  <c r="Q136" i="9" s="1"/>
  <c r="M136" i="9"/>
  <c r="N136" i="9" s="1"/>
  <c r="M137" i="9"/>
  <c r="N137" i="9" s="1"/>
  <c r="M138" i="9"/>
  <c r="N138" i="9" s="1"/>
  <c r="M127" i="9"/>
  <c r="N127" i="9" s="1"/>
  <c r="M128" i="9"/>
  <c r="N128" i="9" s="1"/>
  <c r="O130" i="9"/>
  <c r="M130" i="9"/>
  <c r="N130" i="9" s="1"/>
  <c r="M131" i="9"/>
  <c r="N131" i="9" s="1"/>
  <c r="M132" i="9"/>
  <c r="N132" i="9" s="1"/>
  <c r="M133" i="9"/>
  <c r="N133" i="9" s="1"/>
  <c r="M134" i="9"/>
  <c r="N134" i="9" s="1"/>
  <c r="O134" i="9"/>
  <c r="M135" i="9"/>
  <c r="N135" i="9" s="1"/>
  <c r="Q135" i="9"/>
  <c r="O118" i="9"/>
  <c r="Q118" i="9" s="1"/>
  <c r="M118" i="9"/>
  <c r="N118" i="9" s="1"/>
  <c r="M119" i="9"/>
  <c r="N119" i="9" s="1"/>
  <c r="M120" i="9"/>
  <c r="N120" i="9" s="1"/>
  <c r="M121" i="9"/>
  <c r="N121" i="9" s="1"/>
  <c r="M122" i="9"/>
  <c r="N122" i="9" s="1"/>
  <c r="M123" i="9"/>
  <c r="N123" i="9" s="1"/>
  <c r="M124" i="9"/>
  <c r="N124" i="9" s="1"/>
  <c r="M125" i="9"/>
  <c r="N125" i="9" s="1"/>
  <c r="M126" i="9"/>
  <c r="N126" i="9" s="1"/>
  <c r="Q133" i="9"/>
  <c r="Q138" i="9"/>
  <c r="Q137" i="9"/>
  <c r="Q134" i="9"/>
  <c r="Q132" i="9"/>
  <c r="Q129" i="9"/>
  <c r="M129" i="9"/>
  <c r="N129" i="9" s="1"/>
  <c r="Q128" i="9"/>
  <c r="Q127" i="9"/>
  <c r="M114" i="9"/>
  <c r="N114" i="9" s="1"/>
  <c r="M115" i="9"/>
  <c r="N115" i="9" s="1"/>
  <c r="M116" i="9"/>
  <c r="N116" i="9" s="1"/>
  <c r="M117" i="9"/>
  <c r="N117" i="9" s="1"/>
  <c r="Q130" i="9"/>
  <c r="Q126" i="9"/>
  <c r="Q125" i="9"/>
  <c r="Q124" i="9"/>
  <c r="Q123" i="9"/>
  <c r="Q131" i="9"/>
  <c r="O112" i="9"/>
  <c r="Q112" i="9" s="1"/>
  <c r="M112" i="9"/>
  <c r="N112" i="9" s="1"/>
  <c r="M113" i="9"/>
  <c r="N113" i="9" s="1"/>
  <c r="O109" i="9"/>
  <c r="Q109" i="9" s="1"/>
  <c r="M109" i="9"/>
  <c r="N109" i="9" s="1"/>
  <c r="M110" i="9"/>
  <c r="N110" i="9" s="1"/>
  <c r="O110" i="9"/>
  <c r="Q110" i="9" s="1"/>
  <c r="M111" i="9"/>
  <c r="N111" i="9" s="1"/>
  <c r="Q115" i="9"/>
  <c r="Q114" i="9"/>
  <c r="Q113" i="9"/>
  <c r="Q111" i="9"/>
  <c r="Q121" i="9"/>
  <c r="Q120" i="9"/>
  <c r="Q119" i="9"/>
  <c r="Q117" i="9"/>
  <c r="Q116" i="9"/>
  <c r="O106" i="9"/>
  <c r="M106" i="9"/>
  <c r="M107" i="9"/>
  <c r="N107" i="9" s="1"/>
  <c r="M108" i="9"/>
  <c r="N108" i="9" s="1"/>
  <c r="E97" i="9"/>
  <c r="Q88" i="9"/>
  <c r="Q89" i="9"/>
  <c r="Q90" i="9"/>
  <c r="S90" i="9"/>
  <c r="O92" i="9"/>
  <c r="S89" i="9"/>
  <c r="Q87" i="9"/>
  <c r="M87" i="9"/>
  <c r="S87" i="9" s="1"/>
  <c r="Q86" i="9"/>
  <c r="M86" i="9"/>
  <c r="N86" i="9" s="1"/>
  <c r="Q85" i="9"/>
  <c r="M85" i="9"/>
  <c r="N85" i="9" s="1"/>
  <c r="Q122" i="9"/>
  <c r="Q108" i="9"/>
  <c r="Q107" i="9"/>
  <c r="Q106" i="9"/>
  <c r="Q105" i="9"/>
  <c r="M105" i="9"/>
  <c r="S105" i="9" s="1"/>
  <c r="Q104" i="9"/>
  <c r="M104" i="9"/>
  <c r="N104" i="9" s="1"/>
  <c r="Q103" i="9"/>
  <c r="M103" i="9"/>
  <c r="S103" i="9" s="1"/>
  <c r="Q102" i="9"/>
  <c r="M102" i="9"/>
  <c r="S102" i="9" s="1"/>
  <c r="Q101" i="9"/>
  <c r="M101" i="9"/>
  <c r="N101" i="9" s="1"/>
  <c r="Q100" i="9"/>
  <c r="M100" i="9"/>
  <c r="N100" i="9" s="1"/>
  <c r="Q99" i="9"/>
  <c r="M99" i="9"/>
  <c r="O98" i="9"/>
  <c r="M98" i="9"/>
  <c r="Q97" i="9"/>
  <c r="M97" i="9"/>
  <c r="R97" i="9" s="1"/>
  <c r="R121" i="9" l="1"/>
  <c r="S121" i="9" s="1"/>
  <c r="R131" i="9"/>
  <c r="S131" i="9" s="1"/>
  <c r="R137" i="9"/>
  <c r="S137" i="9" s="1"/>
  <c r="R120" i="9"/>
  <c r="S120" i="9" s="1"/>
  <c r="R127" i="9"/>
  <c r="R112" i="9"/>
  <c r="S112" i="9" s="1"/>
  <c r="S127" i="9"/>
  <c r="R133" i="9"/>
  <c r="S133" i="9" s="1"/>
  <c r="R136" i="9"/>
  <c r="S136" i="9" s="1"/>
  <c r="R132" i="9"/>
  <c r="S132" i="9" s="1"/>
  <c r="R134" i="9"/>
  <c r="S134" i="9" s="1"/>
  <c r="R138" i="9"/>
  <c r="S138" i="9" s="1"/>
  <c r="R135" i="9"/>
  <c r="S135" i="9" s="1"/>
  <c r="R128" i="9"/>
  <c r="R129" i="9"/>
  <c r="S129" i="9"/>
  <c r="S128" i="9"/>
  <c r="R130" i="9"/>
  <c r="S130" i="9" s="1"/>
  <c r="R124" i="9"/>
  <c r="S124" i="9" s="1"/>
  <c r="R123" i="9"/>
  <c r="S123" i="9" s="1"/>
  <c r="R125" i="9"/>
  <c r="S125" i="9" s="1"/>
  <c r="R126" i="9"/>
  <c r="S126" i="9" s="1"/>
  <c r="R117" i="9"/>
  <c r="S117" i="9" s="1"/>
  <c r="R118" i="9"/>
  <c r="S118" i="9" s="1"/>
  <c r="O140" i="9"/>
  <c r="R115" i="9"/>
  <c r="S115" i="9" s="1"/>
  <c r="N106" i="9"/>
  <c r="R111" i="9"/>
  <c r="S111" i="9" s="1"/>
  <c r="R110" i="9"/>
  <c r="S110" i="9" s="1"/>
  <c r="R113" i="9"/>
  <c r="S113" i="9" s="1"/>
  <c r="R114" i="9"/>
  <c r="S114" i="9" s="1"/>
  <c r="R119" i="9"/>
  <c r="S119" i="9" s="1"/>
  <c r="R116" i="9"/>
  <c r="S116" i="9" s="1"/>
  <c r="R105" i="9"/>
  <c r="R85" i="9"/>
  <c r="R86" i="9"/>
  <c r="R87" i="9"/>
  <c r="Q92" i="9"/>
  <c r="R90" i="9"/>
  <c r="N87" i="9"/>
  <c r="R89" i="9"/>
  <c r="S86" i="9"/>
  <c r="R88" i="9"/>
  <c r="S88" i="9"/>
  <c r="S85" i="9"/>
  <c r="R99" i="9"/>
  <c r="R102" i="9"/>
  <c r="R101" i="9"/>
  <c r="S101" i="9" s="1"/>
  <c r="R106" i="9"/>
  <c r="R109" i="9"/>
  <c r="S109" i="9" s="1"/>
  <c r="Q98" i="9"/>
  <c r="Q140" i="9" s="1"/>
  <c r="R107" i="9"/>
  <c r="S107" i="9" s="1"/>
  <c r="R122" i="9"/>
  <c r="S122" i="9" s="1"/>
  <c r="R103" i="9"/>
  <c r="N99" i="9"/>
  <c r="N103" i="9"/>
  <c r="N97" i="9"/>
  <c r="S97" i="9" s="1"/>
  <c r="N98" i="9"/>
  <c r="N105" i="9"/>
  <c r="R100" i="9"/>
  <c r="S100" i="9" s="1"/>
  <c r="N102" i="9"/>
  <c r="R104" i="9"/>
  <c r="R108" i="9"/>
  <c r="S108" i="9" s="1"/>
  <c r="S104" i="9"/>
  <c r="R98" i="9"/>
  <c r="D552" i="5"/>
  <c r="E550" i="5"/>
  <c r="E549" i="5"/>
  <c r="E548" i="5"/>
  <c r="E547" i="5"/>
  <c r="E546" i="5"/>
  <c r="E545" i="5"/>
  <c r="E544" i="5"/>
  <c r="E543" i="5"/>
  <c r="E542" i="5"/>
  <c r="E541" i="5"/>
  <c r="E540" i="5"/>
  <c r="E532" i="5"/>
  <c r="E531" i="5"/>
  <c r="E530" i="5"/>
  <c r="E529" i="5"/>
  <c r="E528" i="5"/>
  <c r="E527" i="5"/>
  <c r="E526" i="5"/>
  <c r="E525" i="5"/>
  <c r="E524" i="5"/>
  <c r="E523" i="5"/>
  <c r="E552" i="5" l="1"/>
  <c r="E535" i="5"/>
  <c r="S98" i="9"/>
  <c r="S99" i="9"/>
  <c r="S106" i="9"/>
  <c r="S92" i="9"/>
  <c r="G85" i="8"/>
  <c r="G86" i="8"/>
  <c r="G87" i="8"/>
  <c r="G88" i="8"/>
  <c r="S140" i="9" l="1"/>
  <c r="F102" i="9" s="1"/>
  <c r="F110" i="9" s="1"/>
  <c r="G84" i="8"/>
  <c r="I84" i="8" s="1"/>
  <c r="G83" i="8"/>
  <c r="I83" i="8" s="1"/>
  <c r="G82" i="8"/>
  <c r="I82" i="8" s="1"/>
  <c r="G81" i="8"/>
  <c r="I81" i="8" s="1"/>
  <c r="G80" i="8"/>
  <c r="I80" i="8" s="1"/>
  <c r="G79" i="8"/>
  <c r="I79" i="8" s="1"/>
  <c r="G78" i="8"/>
  <c r="I78" i="8" s="1"/>
  <c r="G77" i="8"/>
  <c r="I77" i="8" s="1"/>
  <c r="G76" i="8"/>
  <c r="I76" i="8" s="1"/>
  <c r="G75" i="8"/>
  <c r="I75" i="8" s="1"/>
  <c r="G87" i="9"/>
  <c r="G74" i="8"/>
  <c r="I74" i="8" s="1"/>
  <c r="G73" i="8"/>
  <c r="I73" i="8" s="1"/>
  <c r="G72" i="8"/>
  <c r="I72" i="8" s="1"/>
  <c r="G71" i="8"/>
  <c r="I71" i="8" s="1"/>
  <c r="G70" i="8"/>
  <c r="I70" i="8" s="1"/>
  <c r="G69" i="8"/>
  <c r="I69" i="8" s="1"/>
  <c r="G92" i="8"/>
  <c r="I92" i="8" s="1"/>
  <c r="G91" i="8"/>
  <c r="I91" i="8" s="1"/>
  <c r="G90" i="8"/>
  <c r="I90" i="8" s="1"/>
  <c r="G89" i="8"/>
  <c r="I89" i="8" s="1"/>
  <c r="I88" i="8"/>
  <c r="I87" i="8"/>
  <c r="I86" i="8"/>
  <c r="I85" i="8"/>
  <c r="J69" i="8" l="1"/>
  <c r="M69" i="8" s="1"/>
  <c r="J85" i="8"/>
  <c r="M85" i="8" s="1"/>
  <c r="J89" i="8"/>
  <c r="M89" i="8" s="1"/>
  <c r="J75" i="8"/>
  <c r="M75" i="8" s="1"/>
  <c r="G110" i="9"/>
  <c r="J81" i="8"/>
  <c r="N81" i="8" s="1"/>
  <c r="P81" i="8" s="1"/>
  <c r="R81" i="8" s="1"/>
  <c r="V84" i="8" s="1"/>
  <c r="E85" i="9"/>
  <c r="E91" i="9" s="1"/>
  <c r="F91" i="9"/>
  <c r="G91" i="9"/>
  <c r="G50" i="10"/>
  <c r="H50" i="10" s="1"/>
  <c r="G51" i="10"/>
  <c r="H51" i="10" s="1"/>
  <c r="G52" i="10"/>
  <c r="H52" i="10" s="1"/>
  <c r="I52" i="10" s="1"/>
  <c r="G53" i="10"/>
  <c r="H53" i="10" s="1"/>
  <c r="I53" i="10" s="1"/>
  <c r="G54" i="10"/>
  <c r="H54" i="10" s="1"/>
  <c r="G55" i="10"/>
  <c r="H55" i="10" s="1"/>
  <c r="G49" i="10"/>
  <c r="H49" i="10" s="1"/>
  <c r="I49" i="10" s="1"/>
  <c r="G48" i="10"/>
  <c r="H48" i="10" s="1"/>
  <c r="I48" i="10" s="1"/>
  <c r="G47" i="10"/>
  <c r="H47" i="10" s="1"/>
  <c r="G46" i="10"/>
  <c r="H46" i="10" s="1"/>
  <c r="G45" i="10"/>
  <c r="H45" i="10" s="1"/>
  <c r="G44" i="10"/>
  <c r="H44" i="10" s="1"/>
  <c r="I44" i="10" s="1"/>
  <c r="G43" i="10"/>
  <c r="H43" i="10" s="1"/>
  <c r="G42" i="10"/>
  <c r="H42" i="10" s="1"/>
  <c r="G41" i="10"/>
  <c r="G57" i="8"/>
  <c r="I57" i="8" s="1"/>
  <c r="G58" i="8"/>
  <c r="I58" i="8" s="1"/>
  <c r="G59" i="8"/>
  <c r="I59" i="8" s="1"/>
  <c r="G60" i="8"/>
  <c r="I60" i="8" s="1"/>
  <c r="G61" i="8"/>
  <c r="I61" i="8" s="1"/>
  <c r="G62" i="8"/>
  <c r="I62" i="8" s="1"/>
  <c r="G51" i="8"/>
  <c r="I51" i="8" s="1"/>
  <c r="G52" i="8"/>
  <c r="I52" i="8" s="1"/>
  <c r="G53" i="8"/>
  <c r="I53" i="8" s="1"/>
  <c r="G54" i="8"/>
  <c r="I54" i="8" s="1"/>
  <c r="G55" i="8"/>
  <c r="I55" i="8" s="1"/>
  <c r="G56" i="8"/>
  <c r="I56" i="8" s="1"/>
  <c r="G67" i="9"/>
  <c r="O70" i="9"/>
  <c r="Q70" i="9" s="1"/>
  <c r="Q71" i="9"/>
  <c r="M71" i="9"/>
  <c r="N71" i="9" s="1"/>
  <c r="O76" i="9"/>
  <c r="Q76" i="9" s="1"/>
  <c r="O75" i="9"/>
  <c r="Q75" i="9" s="1"/>
  <c r="M73" i="9"/>
  <c r="N73" i="9" s="1"/>
  <c r="Q73" i="9"/>
  <c r="M74" i="9"/>
  <c r="R74" i="9" s="1"/>
  <c r="Q74" i="9"/>
  <c r="M75" i="9"/>
  <c r="R75" i="9" s="1"/>
  <c r="M76" i="9"/>
  <c r="R76" i="9" s="1"/>
  <c r="M77" i="9"/>
  <c r="R77" i="9" s="1"/>
  <c r="Q77" i="9"/>
  <c r="M78" i="9"/>
  <c r="N78" i="9" s="1"/>
  <c r="Q78" i="9"/>
  <c r="M79" i="9"/>
  <c r="S79" i="9" s="1"/>
  <c r="Q79" i="9"/>
  <c r="F74" i="9"/>
  <c r="F70" i="9"/>
  <c r="F71" i="9"/>
  <c r="F72" i="9"/>
  <c r="F73" i="9"/>
  <c r="G21" i="8"/>
  <c r="I21" i="8" s="1"/>
  <c r="G22" i="8"/>
  <c r="I22" i="8" s="1"/>
  <c r="G23" i="8"/>
  <c r="I23" i="8" s="1"/>
  <c r="G24" i="8"/>
  <c r="I24" i="8" s="1"/>
  <c r="G25" i="8"/>
  <c r="I25" i="8" s="1"/>
  <c r="G26" i="8"/>
  <c r="I26" i="8" s="1"/>
  <c r="G33" i="8"/>
  <c r="I33" i="8" s="1"/>
  <c r="G34" i="8"/>
  <c r="I34" i="8" s="1"/>
  <c r="G35" i="8"/>
  <c r="I35" i="8" s="1"/>
  <c r="G36" i="8"/>
  <c r="I36" i="8" s="1"/>
  <c r="E64" i="9"/>
  <c r="G40" i="10"/>
  <c r="H40" i="10" s="1"/>
  <c r="E58" i="10"/>
  <c r="G56" i="10"/>
  <c r="H56" i="10" s="1"/>
  <c r="G37" i="10"/>
  <c r="H37" i="10" s="1"/>
  <c r="I37" i="10" s="1"/>
  <c r="G39" i="10"/>
  <c r="H39" i="10" s="1"/>
  <c r="G38" i="10"/>
  <c r="H38" i="10" s="1"/>
  <c r="F53" i="9"/>
  <c r="Q58" i="9"/>
  <c r="M58" i="9"/>
  <c r="R58" i="9" s="1"/>
  <c r="Q57" i="9"/>
  <c r="M57" i="9"/>
  <c r="R57" i="9" s="1"/>
  <c r="Q56" i="9"/>
  <c r="M56" i="9"/>
  <c r="R56" i="9" s="1"/>
  <c r="Q55" i="9"/>
  <c r="M55" i="9"/>
  <c r="R55" i="9" s="1"/>
  <c r="Q54" i="9"/>
  <c r="M54" i="9"/>
  <c r="R54" i="9" s="1"/>
  <c r="Q53" i="9"/>
  <c r="M53" i="9"/>
  <c r="R53" i="9" s="1"/>
  <c r="Q52" i="9"/>
  <c r="M52" i="9"/>
  <c r="R52" i="9" s="1"/>
  <c r="Q51" i="9"/>
  <c r="M51" i="9"/>
  <c r="S51" i="9" s="1"/>
  <c r="Q50" i="9"/>
  <c r="M50" i="9"/>
  <c r="S50" i="9" s="1"/>
  <c r="Q49" i="9"/>
  <c r="M49" i="9"/>
  <c r="N49" i="9" s="1"/>
  <c r="Q48" i="9"/>
  <c r="M48" i="9"/>
  <c r="N48" i="9" s="1"/>
  <c r="Q47" i="9"/>
  <c r="M47" i="9"/>
  <c r="S47" i="9" s="1"/>
  <c r="Q46" i="9"/>
  <c r="M46" i="9"/>
  <c r="S46" i="9" s="1"/>
  <c r="Q45" i="9"/>
  <c r="M45" i="9"/>
  <c r="R45" i="9" s="1"/>
  <c r="Q72" i="9"/>
  <c r="M72" i="9"/>
  <c r="N72" i="9" s="1"/>
  <c r="M70" i="9"/>
  <c r="N70" i="9" s="1"/>
  <c r="Q69" i="9"/>
  <c r="M69" i="9"/>
  <c r="R69" i="9" s="1"/>
  <c r="Q68" i="9"/>
  <c r="M68" i="9"/>
  <c r="N68" i="9" s="1"/>
  <c r="O67" i="9"/>
  <c r="Q67" i="9" s="1"/>
  <c r="M67" i="9"/>
  <c r="N67" i="9" s="1"/>
  <c r="Q66" i="9"/>
  <c r="M66" i="9"/>
  <c r="R66" i="9" s="1"/>
  <c r="Q65" i="9"/>
  <c r="M65" i="9"/>
  <c r="R65" i="9" s="1"/>
  <c r="Q64" i="9"/>
  <c r="M64" i="9"/>
  <c r="N64" i="9" s="1"/>
  <c r="G47" i="9"/>
  <c r="E45" i="9"/>
  <c r="E53" i="9" s="1"/>
  <c r="O60" i="9"/>
  <c r="G45" i="8"/>
  <c r="I45" i="8" s="1"/>
  <c r="G46" i="8"/>
  <c r="I46" i="8" s="1"/>
  <c r="G47" i="8"/>
  <c r="I47" i="8" s="1"/>
  <c r="G48" i="8"/>
  <c r="I48" i="8" s="1"/>
  <c r="G49" i="8"/>
  <c r="I49" i="8" s="1"/>
  <c r="G50" i="8"/>
  <c r="I50" i="8" s="1"/>
  <c r="K33" i="8"/>
  <c r="K4" i="8"/>
  <c r="G34" i="9"/>
  <c r="G31" i="9"/>
  <c r="G15" i="8"/>
  <c r="I15" i="8" s="1"/>
  <c r="G16" i="8"/>
  <c r="I16" i="8" s="1"/>
  <c r="G17" i="8"/>
  <c r="I17" i="8" s="1"/>
  <c r="G18" i="8"/>
  <c r="I18" i="8" s="1"/>
  <c r="G19" i="8"/>
  <c r="I19" i="8" s="1"/>
  <c r="G20" i="8"/>
  <c r="I20" i="8" s="1"/>
  <c r="G37" i="8"/>
  <c r="I37" i="8" s="1"/>
  <c r="G38" i="8"/>
  <c r="I38" i="8" s="1"/>
  <c r="G39" i="8"/>
  <c r="I39" i="8" s="1"/>
  <c r="G40" i="8"/>
  <c r="I40" i="8" s="1"/>
  <c r="G41" i="8"/>
  <c r="I41" i="8" s="1"/>
  <c r="G42" i="8"/>
  <c r="I42" i="8" s="1"/>
  <c r="G43" i="8"/>
  <c r="I43" i="8" s="1"/>
  <c r="G44" i="8"/>
  <c r="I44" i="8" s="1"/>
  <c r="F37" i="9"/>
  <c r="E29" i="9"/>
  <c r="E37" i="9" s="1"/>
  <c r="E16" i="9"/>
  <c r="F24" i="9"/>
  <c r="E17" i="9"/>
  <c r="G24" i="9"/>
  <c r="G10" i="8"/>
  <c r="I10" i="8" s="1"/>
  <c r="G11" i="8"/>
  <c r="I11" i="8" s="1"/>
  <c r="G12" i="8"/>
  <c r="I12" i="8" s="1"/>
  <c r="G13" i="8"/>
  <c r="I13" i="8" s="1"/>
  <c r="G14" i="8"/>
  <c r="I14" i="8" s="1"/>
  <c r="G4" i="9"/>
  <c r="G5" i="9"/>
  <c r="E6" i="9"/>
  <c r="E2" i="9"/>
  <c r="F12" i="9"/>
  <c r="G5" i="8"/>
  <c r="I5" i="8" s="1"/>
  <c r="G6" i="8"/>
  <c r="I6" i="8" s="1"/>
  <c r="G7" i="8"/>
  <c r="G8" i="8"/>
  <c r="I8" i="8" s="1"/>
  <c r="G9" i="8"/>
  <c r="I9" i="8" s="1"/>
  <c r="G4" i="8"/>
  <c r="I4" i="8" s="1"/>
  <c r="G22" i="10"/>
  <c r="H22" i="10" s="1"/>
  <c r="I22" i="10" s="1"/>
  <c r="G23" i="10"/>
  <c r="H23" i="10" s="1"/>
  <c r="I23" i="10" s="1"/>
  <c r="G24" i="10"/>
  <c r="H24" i="10" s="1"/>
  <c r="G25" i="10"/>
  <c r="H25" i="10" s="1"/>
  <c r="I25" i="10" s="1"/>
  <c r="G26" i="10"/>
  <c r="H26" i="10" s="1"/>
  <c r="G14" i="10"/>
  <c r="H14" i="10" s="1"/>
  <c r="I14" i="10" s="1"/>
  <c r="G15" i="10"/>
  <c r="G16" i="10"/>
  <c r="H16" i="10" s="1"/>
  <c r="I16" i="10" s="1"/>
  <c r="G17" i="10"/>
  <c r="H17" i="10" s="1"/>
  <c r="I17" i="10" s="1"/>
  <c r="G18" i="10"/>
  <c r="H18" i="10" s="1"/>
  <c r="I18" i="10" s="1"/>
  <c r="G19" i="10"/>
  <c r="H19" i="10" s="1"/>
  <c r="G20" i="10"/>
  <c r="H20" i="10" s="1"/>
  <c r="I20" i="10" s="1"/>
  <c r="G21" i="10"/>
  <c r="H21" i="10" s="1"/>
  <c r="I21" i="10" s="1"/>
  <c r="G27" i="8"/>
  <c r="I27" i="8" s="1"/>
  <c r="G28" i="8"/>
  <c r="I28" i="8" s="1"/>
  <c r="G29" i="8"/>
  <c r="I29" i="8" s="1"/>
  <c r="G30" i="8"/>
  <c r="I30" i="8" s="1"/>
  <c r="G31" i="8"/>
  <c r="I31" i="8" s="1"/>
  <c r="G32" i="8"/>
  <c r="I32" i="8" s="1"/>
  <c r="G63" i="8"/>
  <c r="I63" i="8" s="1"/>
  <c r="G64" i="8"/>
  <c r="I64" i="8" s="1"/>
  <c r="G65" i="8"/>
  <c r="I65" i="8" s="1"/>
  <c r="G66" i="8"/>
  <c r="I66" i="8" s="1"/>
  <c r="G67" i="8"/>
  <c r="I67" i="8" s="1"/>
  <c r="G68" i="8"/>
  <c r="I68" i="8" s="1"/>
  <c r="G93" i="8"/>
  <c r="I93" i="8" s="1"/>
  <c r="G94" i="8"/>
  <c r="I94" i="8" s="1"/>
  <c r="G95" i="8"/>
  <c r="I95" i="8" s="1"/>
  <c r="G96" i="8"/>
  <c r="I96" i="8" s="1"/>
  <c r="G97" i="8"/>
  <c r="I97" i="8" s="1"/>
  <c r="G98" i="8"/>
  <c r="I98" i="8" s="1"/>
  <c r="I7" i="8"/>
  <c r="G13" i="10"/>
  <c r="H13" i="10" s="1"/>
  <c r="I13" i="10" s="1"/>
  <c r="G12" i="10"/>
  <c r="H12" i="10" s="1"/>
  <c r="I12" i="10" s="1"/>
  <c r="G11" i="10"/>
  <c r="H11" i="10" s="1"/>
  <c r="I11" i="10" s="1"/>
  <c r="G10" i="10"/>
  <c r="H10" i="10" s="1"/>
  <c r="I10" i="10" s="1"/>
  <c r="G9" i="10"/>
  <c r="H9" i="10" s="1"/>
  <c r="I9" i="10" s="1"/>
  <c r="G8" i="10"/>
  <c r="H8" i="10" s="1"/>
  <c r="I8" i="10" s="1"/>
  <c r="G7" i="10"/>
  <c r="H7" i="10" s="1"/>
  <c r="I7" i="10" s="1"/>
  <c r="G6" i="10"/>
  <c r="H6" i="10" s="1"/>
  <c r="I6" i="10" s="1"/>
  <c r="G5" i="10"/>
  <c r="H5" i="10" s="1"/>
  <c r="G4" i="10"/>
  <c r="H4" i="10" s="1"/>
  <c r="I4" i="10" s="1"/>
  <c r="U218" i="8"/>
  <c r="T218" i="8"/>
  <c r="Q218" i="8"/>
  <c r="F218" i="8"/>
  <c r="F501" i="5"/>
  <c r="F502" i="5"/>
  <c r="F503" i="5"/>
  <c r="F498" i="5"/>
  <c r="I506" i="5"/>
  <c r="E494" i="5"/>
  <c r="O22" i="1"/>
  <c r="O19" i="1"/>
  <c r="T27" i="1"/>
  <c r="T103" i="1"/>
  <c r="H27" i="1"/>
  <c r="H28" i="1"/>
  <c r="H29" i="1"/>
  <c r="R20" i="1"/>
  <c r="R21" i="1"/>
  <c r="R19" i="1"/>
  <c r="H51" i="1"/>
  <c r="H46" i="1"/>
  <c r="S103" i="1"/>
  <c r="H20" i="1"/>
  <c r="L103" i="1"/>
  <c r="N98" i="1"/>
  <c r="P98" i="1" s="1"/>
  <c r="N92" i="1"/>
  <c r="P92" i="1" s="1"/>
  <c r="N86" i="1"/>
  <c r="P86" i="1" s="1"/>
  <c r="N80" i="1"/>
  <c r="P80" i="1" s="1"/>
  <c r="N78" i="1"/>
  <c r="P78" i="1" s="1"/>
  <c r="N72" i="1"/>
  <c r="P72" i="1" s="1"/>
  <c r="N68" i="1"/>
  <c r="P68" i="1" s="1"/>
  <c r="N64" i="1"/>
  <c r="P64" i="1" s="1"/>
  <c r="N62" i="1"/>
  <c r="P62" i="1" s="1"/>
  <c r="N58" i="1"/>
  <c r="P58" i="1" s="1"/>
  <c r="N48" i="1"/>
  <c r="P48" i="1" s="1"/>
  <c r="N54" i="1"/>
  <c r="P54" i="1" s="1"/>
  <c r="N43" i="1"/>
  <c r="P43" i="1" s="1"/>
  <c r="N39" i="1"/>
  <c r="P39" i="1" s="1"/>
  <c r="N37" i="1"/>
  <c r="P37" i="1" s="1"/>
  <c r="N33" i="1"/>
  <c r="P33" i="1" s="1"/>
  <c r="N29" i="1"/>
  <c r="P29" i="1" s="1"/>
  <c r="N24" i="1"/>
  <c r="P24" i="1" s="1"/>
  <c r="N26" i="1"/>
  <c r="P26" i="1" s="1"/>
  <c r="N22" i="1"/>
  <c r="P22" i="1" s="1"/>
  <c r="N19" i="1"/>
  <c r="P19" i="1" s="1"/>
  <c r="I489" i="5"/>
  <c r="F487" i="5"/>
  <c r="F489" i="5" s="1"/>
  <c r="E479" i="5"/>
  <c r="I474" i="5"/>
  <c r="F472" i="5"/>
  <c r="F474" i="5" s="1"/>
  <c r="E464" i="5"/>
  <c r="E474" i="5" s="1"/>
  <c r="F427" i="5"/>
  <c r="F426" i="5"/>
  <c r="F429" i="5" s="1"/>
  <c r="I459" i="5"/>
  <c r="F457" i="5"/>
  <c r="F459" i="5" s="1"/>
  <c r="E447" i="5"/>
  <c r="E459" i="5"/>
  <c r="F437" i="5"/>
  <c r="F438" i="5"/>
  <c r="F439" i="5"/>
  <c r="F436" i="5"/>
  <c r="F440" i="5"/>
  <c r="I442" i="5"/>
  <c r="E434" i="5"/>
  <c r="E442" i="5" s="1"/>
  <c r="I429" i="5"/>
  <c r="E424" i="5"/>
  <c r="E429" i="5" s="1"/>
  <c r="K393" i="5"/>
  <c r="J389" i="5"/>
  <c r="M389" i="5" s="1"/>
  <c r="J390" i="5"/>
  <c r="M390" i="5" s="1"/>
  <c r="J391" i="5"/>
  <c r="M391" i="5" s="1"/>
  <c r="J392" i="5"/>
  <c r="M392" i="5" s="1"/>
  <c r="J393" i="5"/>
  <c r="M393" i="5" s="1"/>
  <c r="J388" i="5"/>
  <c r="F418" i="5"/>
  <c r="F414" i="5"/>
  <c r="F416" i="5"/>
  <c r="F417" i="5"/>
  <c r="I420" i="5"/>
  <c r="E418" i="5"/>
  <c r="E413" i="5"/>
  <c r="F406" i="5"/>
  <c r="F101" i="1"/>
  <c r="H101" i="1" s="1"/>
  <c r="F100" i="1"/>
  <c r="H100" i="1" s="1"/>
  <c r="F99" i="1"/>
  <c r="H99" i="1" s="1"/>
  <c r="F98" i="1"/>
  <c r="H98" i="1" s="1"/>
  <c r="F405" i="5"/>
  <c r="J362" i="5"/>
  <c r="M362" i="5" s="1"/>
  <c r="J363" i="5"/>
  <c r="M363" i="5" s="1"/>
  <c r="J364" i="5"/>
  <c r="J365" i="5"/>
  <c r="N365" i="5" s="1"/>
  <c r="J366" i="5"/>
  <c r="J367" i="5"/>
  <c r="M367" i="5" s="1"/>
  <c r="J368" i="5"/>
  <c r="M368" i="5" s="1"/>
  <c r="J369" i="5"/>
  <c r="M369" i="5" s="1"/>
  <c r="J370" i="5"/>
  <c r="M370" i="5" s="1"/>
  <c r="J371" i="5"/>
  <c r="M371" i="5" s="1"/>
  <c r="J372" i="5"/>
  <c r="M372" i="5" s="1"/>
  <c r="J373" i="5"/>
  <c r="M373" i="5" s="1"/>
  <c r="J374" i="5"/>
  <c r="M374" i="5" s="1"/>
  <c r="J375" i="5"/>
  <c r="M375" i="5" s="1"/>
  <c r="J376" i="5"/>
  <c r="M376" i="5" s="1"/>
  <c r="J377" i="5"/>
  <c r="M377" i="5" s="1"/>
  <c r="J378" i="5"/>
  <c r="M378" i="5" s="1"/>
  <c r="J379" i="5"/>
  <c r="M379" i="5" s="1"/>
  <c r="J380" i="5"/>
  <c r="M380" i="5" s="1"/>
  <c r="J381" i="5"/>
  <c r="M381" i="5" s="1"/>
  <c r="J382" i="5"/>
  <c r="M382" i="5" s="1"/>
  <c r="J383" i="5"/>
  <c r="M383" i="5" s="1"/>
  <c r="J384" i="5"/>
  <c r="M384" i="5" s="1"/>
  <c r="J385" i="5"/>
  <c r="M385" i="5" s="1"/>
  <c r="J361" i="5"/>
  <c r="M361" i="5" s="1"/>
  <c r="I403" i="5"/>
  <c r="M388" i="5"/>
  <c r="K396" i="5"/>
  <c r="L390" i="5"/>
  <c r="L391" i="5"/>
  <c r="L392" i="5"/>
  <c r="L393" i="5"/>
  <c r="L394" i="5"/>
  <c r="K385" i="5"/>
  <c r="L385" i="5" s="1"/>
  <c r="K380" i="5"/>
  <c r="L380" i="5"/>
  <c r="K369" i="5"/>
  <c r="L369" i="5" s="1"/>
  <c r="L366" i="5"/>
  <c r="K364" i="5"/>
  <c r="L364" i="5" s="1"/>
  <c r="K375" i="5"/>
  <c r="L375" i="5" s="1"/>
  <c r="L365" i="5"/>
  <c r="K371" i="5"/>
  <c r="L371" i="5" s="1"/>
  <c r="N371" i="5" s="1"/>
  <c r="L384" i="5"/>
  <c r="L383" i="5"/>
  <c r="L382" i="5"/>
  <c r="L381" i="5"/>
  <c r="L379" i="5"/>
  <c r="L378" i="5"/>
  <c r="L377" i="5"/>
  <c r="L376" i="5"/>
  <c r="L374" i="5"/>
  <c r="L373" i="5"/>
  <c r="L372" i="5"/>
  <c r="L370" i="5"/>
  <c r="L368" i="5"/>
  <c r="L367" i="5"/>
  <c r="J303" i="5"/>
  <c r="J304" i="5"/>
  <c r="J305" i="5"/>
  <c r="J306" i="5"/>
  <c r="J307" i="5"/>
  <c r="K307" i="5"/>
  <c r="L307" i="5" s="1"/>
  <c r="J308" i="5"/>
  <c r="J309" i="5"/>
  <c r="J310" i="5"/>
  <c r="J311" i="5"/>
  <c r="K311" i="5"/>
  <c r="L311" i="5" s="1"/>
  <c r="K302" i="5"/>
  <c r="L302" i="5" s="1"/>
  <c r="K298" i="5"/>
  <c r="L298" i="5" s="1"/>
  <c r="L310" i="5"/>
  <c r="L309" i="5"/>
  <c r="L308" i="5"/>
  <c r="L306" i="5"/>
  <c r="L305" i="5"/>
  <c r="L304" i="5"/>
  <c r="L303" i="5"/>
  <c r="J302" i="5"/>
  <c r="L301" i="5"/>
  <c r="J301" i="5"/>
  <c r="L300" i="5"/>
  <c r="J300" i="5"/>
  <c r="L299" i="5"/>
  <c r="J299" i="5"/>
  <c r="J298" i="5"/>
  <c r="L297" i="5"/>
  <c r="J297" i="5"/>
  <c r="L296" i="5"/>
  <c r="J296" i="5"/>
  <c r="L295" i="5"/>
  <c r="J295" i="5"/>
  <c r="L294" i="5"/>
  <c r="J294" i="5"/>
  <c r="K335" i="5"/>
  <c r="K343" i="5" s="1"/>
  <c r="K255" i="5"/>
  <c r="K252" i="5"/>
  <c r="K363" i="5"/>
  <c r="L363" i="5" s="1"/>
  <c r="L336" i="5"/>
  <c r="L388" i="5"/>
  <c r="L389" i="5"/>
  <c r="J394" i="5"/>
  <c r="N394" i="5" s="1"/>
  <c r="M366" i="5"/>
  <c r="F402" i="5"/>
  <c r="E406" i="5"/>
  <c r="E401" i="5"/>
  <c r="F89" i="1"/>
  <c r="H89" i="1" s="1"/>
  <c r="M364" i="5"/>
  <c r="G73" i="6"/>
  <c r="H73" i="6" s="1"/>
  <c r="G75" i="6"/>
  <c r="H75" i="6" s="1"/>
  <c r="G78" i="6"/>
  <c r="H78" i="6" s="1"/>
  <c r="G82" i="6"/>
  <c r="H82" i="6" s="1"/>
  <c r="G69" i="6"/>
  <c r="H69" i="6" s="1"/>
  <c r="G71" i="6"/>
  <c r="H71" i="6" s="1"/>
  <c r="E85" i="6"/>
  <c r="G83" i="6"/>
  <c r="H83" i="6" s="1"/>
  <c r="G81" i="6"/>
  <c r="H81" i="6" s="1"/>
  <c r="G80" i="6"/>
  <c r="H80" i="6" s="1"/>
  <c r="G79" i="6"/>
  <c r="H79" i="6" s="1"/>
  <c r="G77" i="6"/>
  <c r="H77" i="6" s="1"/>
  <c r="G76" i="6"/>
  <c r="H76" i="6" s="1"/>
  <c r="G74" i="6"/>
  <c r="H74" i="6" s="1"/>
  <c r="G72" i="6"/>
  <c r="H72" i="6" s="1"/>
  <c r="G70" i="6"/>
  <c r="H70" i="6" s="1"/>
  <c r="F350" i="5"/>
  <c r="F347" i="5"/>
  <c r="E350" i="5"/>
  <c r="F349" i="5"/>
  <c r="E346" i="5"/>
  <c r="J333" i="5"/>
  <c r="J334" i="5"/>
  <c r="J335" i="5"/>
  <c r="L362" i="5"/>
  <c r="L361" i="5"/>
  <c r="F96" i="1"/>
  <c r="H96" i="1" s="1"/>
  <c r="F97" i="1"/>
  <c r="H97" i="1" s="1"/>
  <c r="F321" i="5"/>
  <c r="F322" i="5"/>
  <c r="F320" i="5"/>
  <c r="E322" i="5"/>
  <c r="E321" i="5"/>
  <c r="E320" i="5"/>
  <c r="F319" i="5"/>
  <c r="E317" i="5"/>
  <c r="J331" i="5"/>
  <c r="J332" i="5"/>
  <c r="A292" i="5"/>
  <c r="A293" i="5"/>
  <c r="A294" i="5"/>
  <c r="A295" i="5"/>
  <c r="A296" i="5"/>
  <c r="A297" i="5"/>
  <c r="A298" i="5"/>
  <c r="A299" i="5"/>
  <c r="A300" i="5"/>
  <c r="A301" i="5"/>
  <c r="A291" i="5"/>
  <c r="L341" i="5"/>
  <c r="N341" i="5"/>
  <c r="A341" i="5"/>
  <c r="L340" i="5"/>
  <c r="N340" i="5"/>
  <c r="E340" i="5"/>
  <c r="A340" i="5"/>
  <c r="L339" i="5"/>
  <c r="N339" i="5"/>
  <c r="E339" i="5"/>
  <c r="A339" i="5"/>
  <c r="L338" i="5"/>
  <c r="N338" i="5"/>
  <c r="E338" i="5"/>
  <c r="A338" i="5"/>
  <c r="L337" i="5"/>
  <c r="N337" i="5"/>
  <c r="E337" i="5"/>
  <c r="A337" i="5"/>
  <c r="N336" i="5"/>
  <c r="E336" i="5"/>
  <c r="A336" i="5"/>
  <c r="L335" i="5"/>
  <c r="E335" i="5"/>
  <c r="A335" i="5"/>
  <c r="L334" i="5"/>
  <c r="E334" i="5"/>
  <c r="A334" i="5"/>
  <c r="L333" i="5"/>
  <c r="E333" i="5"/>
  <c r="A333" i="5"/>
  <c r="L332" i="5"/>
  <c r="N332" i="5" s="1"/>
  <c r="E332" i="5"/>
  <c r="A332" i="5"/>
  <c r="L331" i="5"/>
  <c r="E331" i="5"/>
  <c r="A331" i="5"/>
  <c r="F91" i="1"/>
  <c r="H91" i="1" s="1"/>
  <c r="F92" i="1"/>
  <c r="H92" i="1" s="1"/>
  <c r="F93" i="1"/>
  <c r="H93" i="1" s="1"/>
  <c r="F94" i="1"/>
  <c r="H94" i="1" s="1"/>
  <c r="F95" i="1"/>
  <c r="H95" i="1" s="1"/>
  <c r="F90" i="1"/>
  <c r="H90" i="1" s="1"/>
  <c r="F84" i="1"/>
  <c r="H84" i="1" s="1"/>
  <c r="F85" i="1"/>
  <c r="H85" i="1"/>
  <c r="F86" i="1"/>
  <c r="H86" i="1" s="1"/>
  <c r="F87" i="1"/>
  <c r="H87" i="1" s="1"/>
  <c r="F88" i="1"/>
  <c r="H88" i="1" s="1"/>
  <c r="E58" i="6"/>
  <c r="F279" i="5"/>
  <c r="F277" i="5"/>
  <c r="E279" i="5"/>
  <c r="F278" i="5"/>
  <c r="E278" i="5"/>
  <c r="E277" i="5"/>
  <c r="F276" i="5"/>
  <c r="I281" i="5"/>
  <c r="E275" i="5"/>
  <c r="E300" i="5"/>
  <c r="E299" i="5"/>
  <c r="E298" i="5"/>
  <c r="E297" i="5"/>
  <c r="E296" i="5"/>
  <c r="E295" i="5"/>
  <c r="E294" i="5"/>
  <c r="L293" i="5"/>
  <c r="N293" i="5"/>
  <c r="E293" i="5"/>
  <c r="L292" i="5"/>
  <c r="N292" i="5"/>
  <c r="E292" i="5"/>
  <c r="E291" i="5"/>
  <c r="L291" i="5"/>
  <c r="F270" i="5"/>
  <c r="F265" i="5"/>
  <c r="E270" i="5"/>
  <c r="F269" i="5"/>
  <c r="F268" i="5"/>
  <c r="F267" i="5"/>
  <c r="E267" i="5"/>
  <c r="F266" i="5"/>
  <c r="E266" i="5"/>
  <c r="E263" i="5"/>
  <c r="L251" i="5"/>
  <c r="J251" i="5"/>
  <c r="J248" i="5"/>
  <c r="J249" i="5"/>
  <c r="J250" i="5"/>
  <c r="J252" i="5"/>
  <c r="J253" i="5"/>
  <c r="J244" i="5"/>
  <c r="J245" i="5"/>
  <c r="J246" i="5"/>
  <c r="J247" i="5"/>
  <c r="J254" i="5"/>
  <c r="J255" i="5"/>
  <c r="J243" i="5"/>
  <c r="N291" i="5"/>
  <c r="G53" i="6"/>
  <c r="H53" i="6" s="1"/>
  <c r="G51" i="6"/>
  <c r="H51" i="6"/>
  <c r="G49" i="6"/>
  <c r="H49" i="6" s="1"/>
  <c r="G48" i="6"/>
  <c r="H48" i="6" s="1"/>
  <c r="G47" i="6"/>
  <c r="G56" i="6"/>
  <c r="H56" i="6" s="1"/>
  <c r="G55" i="6"/>
  <c r="H55" i="6" s="1"/>
  <c r="G54" i="6"/>
  <c r="H54" i="6" s="1"/>
  <c r="G52" i="6"/>
  <c r="H52" i="6"/>
  <c r="G50" i="6"/>
  <c r="H50" i="6" s="1"/>
  <c r="F79" i="1"/>
  <c r="H79" i="1" s="1"/>
  <c r="F80" i="1"/>
  <c r="H80" i="1" s="1"/>
  <c r="F81" i="1"/>
  <c r="H81" i="1" s="1"/>
  <c r="F82" i="1"/>
  <c r="H82" i="1" s="1"/>
  <c r="F83" i="1"/>
  <c r="H83" i="1" s="1"/>
  <c r="F78" i="1"/>
  <c r="H78" i="1" s="1"/>
  <c r="A244" i="5"/>
  <c r="A245" i="5"/>
  <c r="A246" i="5"/>
  <c r="A247" i="5"/>
  <c r="A248" i="5"/>
  <c r="A249" i="5"/>
  <c r="A250" i="5"/>
  <c r="A251" i="5"/>
  <c r="A252" i="5"/>
  <c r="A253" i="5"/>
  <c r="A243" i="5"/>
  <c r="N256" i="5"/>
  <c r="L256" i="5"/>
  <c r="L254" i="5"/>
  <c r="L253" i="5"/>
  <c r="E252" i="5"/>
  <c r="L252" i="5"/>
  <c r="E251" i="5"/>
  <c r="L250" i="5"/>
  <c r="E250" i="5"/>
  <c r="L249" i="5"/>
  <c r="E249" i="5"/>
  <c r="L248" i="5"/>
  <c r="E248" i="5"/>
  <c r="L247" i="5"/>
  <c r="E247" i="5"/>
  <c r="L246" i="5"/>
  <c r="E246" i="5"/>
  <c r="L245" i="5"/>
  <c r="E245" i="5"/>
  <c r="L244" i="5"/>
  <c r="E244" i="5"/>
  <c r="L243" i="5"/>
  <c r="E243" i="5"/>
  <c r="H77" i="1"/>
  <c r="H76" i="1"/>
  <c r="H75" i="1"/>
  <c r="H74" i="1"/>
  <c r="H73" i="1"/>
  <c r="H72" i="1"/>
  <c r="G34" i="6"/>
  <c r="H34" i="6" s="1"/>
  <c r="G31" i="6"/>
  <c r="H31" i="6" s="1"/>
  <c r="G32" i="6"/>
  <c r="H32" i="6" s="1"/>
  <c r="G33" i="6"/>
  <c r="H33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G24" i="6"/>
  <c r="H61" i="1"/>
  <c r="H60" i="1"/>
  <c r="H59" i="1"/>
  <c r="H58" i="1"/>
  <c r="F234" i="5"/>
  <c r="F232" i="5"/>
  <c r="A211" i="5"/>
  <c r="A212" i="5"/>
  <c r="A213" i="5"/>
  <c r="A214" i="5"/>
  <c r="A215" i="5"/>
  <c r="A216" i="5"/>
  <c r="A217" i="5"/>
  <c r="A218" i="5"/>
  <c r="E234" i="5"/>
  <c r="F233" i="5"/>
  <c r="F231" i="5"/>
  <c r="E231" i="5"/>
  <c r="F230" i="5"/>
  <c r="E230" i="5"/>
  <c r="F228" i="5"/>
  <c r="E227" i="5"/>
  <c r="G13" i="6"/>
  <c r="H1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N220" i="5"/>
  <c r="K218" i="5"/>
  <c r="K222" i="5" s="1"/>
  <c r="N209" i="5"/>
  <c r="N210" i="5"/>
  <c r="N208" i="5"/>
  <c r="J212" i="5"/>
  <c r="J213" i="5"/>
  <c r="J214" i="5"/>
  <c r="J215" i="5"/>
  <c r="J216" i="5"/>
  <c r="J217" i="5"/>
  <c r="J218" i="5"/>
  <c r="N219" i="5"/>
  <c r="L217" i="5"/>
  <c r="L216" i="5"/>
  <c r="L215" i="5"/>
  <c r="L214" i="5"/>
  <c r="L213" i="5"/>
  <c r="L212" i="5"/>
  <c r="L211" i="5"/>
  <c r="J211" i="5"/>
  <c r="L219" i="5"/>
  <c r="L220" i="5"/>
  <c r="L210" i="5"/>
  <c r="L209" i="5"/>
  <c r="L208" i="5"/>
  <c r="A209" i="5"/>
  <c r="A210" i="5"/>
  <c r="A208" i="5"/>
  <c r="H69" i="1"/>
  <c r="H70" i="1"/>
  <c r="H71" i="1"/>
  <c r="H65" i="1"/>
  <c r="H64" i="1"/>
  <c r="H63" i="1"/>
  <c r="H62" i="1"/>
  <c r="H57" i="1"/>
  <c r="H56" i="1"/>
  <c r="H55" i="1"/>
  <c r="F181" i="5"/>
  <c r="E166" i="5"/>
  <c r="E165" i="5"/>
  <c r="E164" i="5"/>
  <c r="A165" i="5"/>
  <c r="A166" i="5"/>
  <c r="A167" i="5"/>
  <c r="I194" i="5"/>
  <c r="F194" i="5" s="1"/>
  <c r="F196" i="5"/>
  <c r="F191" i="5"/>
  <c r="E197" i="5"/>
  <c r="F195" i="5"/>
  <c r="E195" i="5"/>
  <c r="E194" i="5"/>
  <c r="E189" i="5"/>
  <c r="A154" i="5"/>
  <c r="A155" i="5"/>
  <c r="A156" i="5"/>
  <c r="A157" i="5"/>
  <c r="A158" i="5"/>
  <c r="A159" i="5"/>
  <c r="A160" i="5"/>
  <c r="A161" i="5"/>
  <c r="A162" i="5"/>
  <c r="A163" i="5"/>
  <c r="A164" i="5"/>
  <c r="A153" i="5"/>
  <c r="K171" i="5"/>
  <c r="L171" i="5" s="1"/>
  <c r="J171" i="5"/>
  <c r="J170" i="5"/>
  <c r="J169" i="5"/>
  <c r="J168" i="5"/>
  <c r="J167" i="5"/>
  <c r="J166" i="5"/>
  <c r="J165" i="5"/>
  <c r="J164" i="5"/>
  <c r="L165" i="5"/>
  <c r="L166" i="5"/>
  <c r="L167" i="5"/>
  <c r="L168" i="5"/>
  <c r="L169" i="5"/>
  <c r="L170" i="5"/>
  <c r="H54" i="1"/>
  <c r="H66" i="1"/>
  <c r="H67" i="1"/>
  <c r="H68" i="1"/>
  <c r="D157" i="5"/>
  <c r="E157" i="5" s="1"/>
  <c r="L164" i="5"/>
  <c r="E217" i="5"/>
  <c r="E216" i="5"/>
  <c r="E215" i="5"/>
  <c r="E214" i="5"/>
  <c r="E213" i="5"/>
  <c r="E212" i="5"/>
  <c r="E211" i="5"/>
  <c r="E210" i="5"/>
  <c r="E209" i="5"/>
  <c r="E208" i="5"/>
  <c r="K159" i="5"/>
  <c r="L159" i="5" s="1"/>
  <c r="L163" i="5"/>
  <c r="J163" i="5"/>
  <c r="L162" i="5"/>
  <c r="J162" i="5"/>
  <c r="N162" i="5" s="1"/>
  <c r="L161" i="5"/>
  <c r="J161" i="5"/>
  <c r="L160" i="5"/>
  <c r="J160" i="5"/>
  <c r="J159" i="5"/>
  <c r="K122" i="5"/>
  <c r="L122" i="5" s="1"/>
  <c r="I184" i="5"/>
  <c r="E182" i="5"/>
  <c r="E181" i="5"/>
  <c r="F180" i="5"/>
  <c r="E180" i="5"/>
  <c r="E178" i="5"/>
  <c r="H50" i="1"/>
  <c r="H49" i="1"/>
  <c r="H48" i="1"/>
  <c r="H45" i="1"/>
  <c r="H44" i="1"/>
  <c r="H43" i="1"/>
  <c r="I147" i="5"/>
  <c r="E145" i="5"/>
  <c r="F144" i="5"/>
  <c r="E144" i="5"/>
  <c r="F143" i="5"/>
  <c r="E143" i="5"/>
  <c r="F142" i="5"/>
  <c r="E142" i="5"/>
  <c r="E140" i="5"/>
  <c r="D112" i="5"/>
  <c r="J115" i="5"/>
  <c r="J116" i="5"/>
  <c r="J117" i="5"/>
  <c r="J118" i="5"/>
  <c r="L118" i="5"/>
  <c r="J119" i="5"/>
  <c r="L119" i="5"/>
  <c r="J120" i="5"/>
  <c r="N120" i="5" s="1"/>
  <c r="L120" i="5"/>
  <c r="J121" i="5"/>
  <c r="L121" i="5"/>
  <c r="J122" i="5"/>
  <c r="L117" i="5"/>
  <c r="L158" i="5"/>
  <c r="J158" i="5"/>
  <c r="L157" i="5"/>
  <c r="J157" i="5"/>
  <c r="L156" i="5"/>
  <c r="J156" i="5"/>
  <c r="N156" i="5" s="1"/>
  <c r="L155" i="5"/>
  <c r="J155" i="5"/>
  <c r="L154" i="5"/>
  <c r="J154" i="5"/>
  <c r="L153" i="5"/>
  <c r="J153" i="5"/>
  <c r="L116" i="5"/>
  <c r="N116" i="5" s="1"/>
  <c r="L115" i="5"/>
  <c r="J113" i="5"/>
  <c r="J114" i="5"/>
  <c r="J112" i="5"/>
  <c r="C108" i="5"/>
  <c r="K111" i="5"/>
  <c r="L111" i="5" s="1"/>
  <c r="L114" i="5"/>
  <c r="L113" i="5"/>
  <c r="L112" i="5"/>
  <c r="E163" i="5"/>
  <c r="E162" i="5"/>
  <c r="E161" i="5"/>
  <c r="D160" i="5"/>
  <c r="E160" i="5" s="1"/>
  <c r="E159" i="5"/>
  <c r="E158" i="5"/>
  <c r="E156" i="5"/>
  <c r="E155" i="5"/>
  <c r="E154" i="5"/>
  <c r="E153" i="5"/>
  <c r="D115" i="5"/>
  <c r="F132" i="5"/>
  <c r="F100" i="5"/>
  <c r="F130" i="5"/>
  <c r="E135" i="5"/>
  <c r="F134" i="5"/>
  <c r="E134" i="5"/>
  <c r="F133" i="5"/>
  <c r="E133" i="5"/>
  <c r="E132" i="5"/>
  <c r="E129" i="5"/>
  <c r="L31" i="2"/>
  <c r="K31" i="2"/>
  <c r="E95" i="5"/>
  <c r="I98" i="5"/>
  <c r="I100" i="5" s="1"/>
  <c r="E97" i="5"/>
  <c r="A59" i="5"/>
  <c r="A60" i="5"/>
  <c r="A61" i="5"/>
  <c r="A62" i="5"/>
  <c r="A63" i="5"/>
  <c r="A64" i="5"/>
  <c r="A65" i="5"/>
  <c r="A66" i="5"/>
  <c r="A67" i="5"/>
  <c r="A68" i="5"/>
  <c r="A69" i="5"/>
  <c r="A70" i="5"/>
  <c r="A58" i="5"/>
  <c r="E98" i="5"/>
  <c r="E96" i="5"/>
  <c r="E93" i="5"/>
  <c r="F87" i="5"/>
  <c r="H42" i="1"/>
  <c r="H41" i="1"/>
  <c r="H40" i="1"/>
  <c r="H39" i="1"/>
  <c r="E87" i="5"/>
  <c r="E88" i="5"/>
  <c r="E86" i="5"/>
  <c r="E25" i="5"/>
  <c r="J111" i="5"/>
  <c r="L110" i="5"/>
  <c r="J110" i="5"/>
  <c r="L109" i="5"/>
  <c r="J109" i="5"/>
  <c r="L108" i="5"/>
  <c r="J108" i="5"/>
  <c r="K70" i="5"/>
  <c r="L70" i="5"/>
  <c r="J70" i="5"/>
  <c r="L69" i="5"/>
  <c r="J69" i="5"/>
  <c r="K68" i="5"/>
  <c r="L68" i="5" s="1"/>
  <c r="J68" i="5"/>
  <c r="L67" i="5"/>
  <c r="J67" i="5"/>
  <c r="L66" i="5"/>
  <c r="J66" i="5"/>
  <c r="L65" i="5"/>
  <c r="J65" i="5"/>
  <c r="L64" i="5"/>
  <c r="J64" i="5"/>
  <c r="K63" i="5"/>
  <c r="L63" i="5" s="1"/>
  <c r="C58" i="5"/>
  <c r="E58" i="5" s="1"/>
  <c r="J25" i="5"/>
  <c r="J26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9" i="5"/>
  <c r="J60" i="5"/>
  <c r="J61" i="5"/>
  <c r="J62" i="5"/>
  <c r="J63" i="5"/>
  <c r="J58" i="5"/>
  <c r="J35" i="5"/>
  <c r="J24" i="5"/>
  <c r="J5" i="5"/>
  <c r="N5" i="5" s="1"/>
  <c r="J6" i="5"/>
  <c r="N6" i="5" s="1"/>
  <c r="J7" i="5"/>
  <c r="N7" i="5" s="1"/>
  <c r="N8" i="5"/>
  <c r="J9" i="5"/>
  <c r="N9" i="5" s="1"/>
  <c r="J10" i="5"/>
  <c r="N10" i="5" s="1"/>
  <c r="J11" i="5"/>
  <c r="N11" i="5" s="1"/>
  <c r="J12" i="5"/>
  <c r="N12" i="5" s="1"/>
  <c r="J13" i="5"/>
  <c r="N13" i="5" s="1"/>
  <c r="J14" i="5"/>
  <c r="N14" i="5" s="1"/>
  <c r="J15" i="5"/>
  <c r="N15" i="5" s="1"/>
  <c r="J4" i="5"/>
  <c r="N4" i="5" s="1"/>
  <c r="K17" i="5"/>
  <c r="L9" i="5"/>
  <c r="L8" i="5"/>
  <c r="L7" i="5"/>
  <c r="L6" i="5"/>
  <c r="L5" i="5"/>
  <c r="L4" i="5"/>
  <c r="A109" i="5"/>
  <c r="A110" i="5"/>
  <c r="A111" i="5"/>
  <c r="A112" i="5"/>
  <c r="A113" i="5"/>
  <c r="A114" i="5"/>
  <c r="A115" i="5"/>
  <c r="A116" i="5"/>
  <c r="A117" i="5"/>
  <c r="A118" i="5"/>
  <c r="A119" i="5"/>
  <c r="A108" i="5"/>
  <c r="A36" i="5"/>
  <c r="A37" i="5"/>
  <c r="A38" i="5"/>
  <c r="A39" i="5"/>
  <c r="A40" i="5"/>
  <c r="A41" i="5"/>
  <c r="A42" i="5"/>
  <c r="A43" i="5"/>
  <c r="A44" i="5"/>
  <c r="A45" i="5"/>
  <c r="A46" i="5"/>
  <c r="A35" i="5"/>
  <c r="K124" i="5"/>
  <c r="K58" i="5"/>
  <c r="L58" i="5" s="1"/>
  <c r="L49" i="5"/>
  <c r="L48" i="5"/>
  <c r="N48" i="5" s="1"/>
  <c r="L47" i="5"/>
  <c r="L46" i="5"/>
  <c r="L45" i="5"/>
  <c r="E118" i="5"/>
  <c r="E117" i="5"/>
  <c r="E116" i="5"/>
  <c r="E115" i="5"/>
  <c r="E114" i="5"/>
  <c r="E113" i="5"/>
  <c r="E112" i="5"/>
  <c r="E111" i="5"/>
  <c r="E110" i="5"/>
  <c r="E109" i="5"/>
  <c r="E108" i="5"/>
  <c r="L40" i="5"/>
  <c r="L39" i="5"/>
  <c r="N39" i="5" s="1"/>
  <c r="L38" i="5"/>
  <c r="L37" i="5"/>
  <c r="L36" i="5"/>
  <c r="L35" i="5"/>
  <c r="L41" i="5"/>
  <c r="L42" i="5"/>
  <c r="L43" i="5"/>
  <c r="N43" i="5" s="1"/>
  <c r="L44" i="5"/>
  <c r="L26" i="5"/>
  <c r="L25" i="5"/>
  <c r="K24" i="5"/>
  <c r="L24" i="5" s="1"/>
  <c r="E68" i="5"/>
  <c r="E67" i="5"/>
  <c r="E66" i="5"/>
  <c r="D65" i="5"/>
  <c r="E65" i="5" s="1"/>
  <c r="E64" i="5"/>
  <c r="E63" i="5"/>
  <c r="L62" i="5"/>
  <c r="E62" i="5"/>
  <c r="L61" i="5"/>
  <c r="E61" i="5"/>
  <c r="L60" i="5"/>
  <c r="E60" i="5"/>
  <c r="L59" i="5"/>
  <c r="E59" i="5"/>
  <c r="K51" i="5"/>
  <c r="A25" i="5"/>
  <c r="A26" i="5"/>
  <c r="A24" i="5"/>
  <c r="A6" i="5"/>
  <c r="A7" i="5"/>
  <c r="A8" i="5"/>
  <c r="A9" i="5"/>
  <c r="A10" i="5"/>
  <c r="A11" i="5"/>
  <c r="A12" i="5"/>
  <c r="A13" i="5"/>
  <c r="A14" i="5"/>
  <c r="A15" i="5"/>
  <c r="E44" i="5"/>
  <c r="E13" i="5"/>
  <c r="E14" i="5"/>
  <c r="E15" i="5"/>
  <c r="C35" i="5"/>
  <c r="E35" i="5" s="1"/>
  <c r="E45" i="5"/>
  <c r="E43" i="5"/>
  <c r="D42" i="5"/>
  <c r="E42" i="5" s="1"/>
  <c r="E41" i="5"/>
  <c r="E40" i="5"/>
  <c r="E39" i="5"/>
  <c r="E38" i="5"/>
  <c r="E37" i="5"/>
  <c r="E36" i="5"/>
  <c r="D12" i="5"/>
  <c r="E12" i="5" s="1"/>
  <c r="E11" i="5"/>
  <c r="E10" i="5"/>
  <c r="E9" i="5"/>
  <c r="E8" i="5"/>
  <c r="E7" i="5"/>
  <c r="E6" i="5"/>
  <c r="E5" i="5"/>
  <c r="A5" i="5"/>
  <c r="E4" i="5"/>
  <c r="A4" i="5"/>
  <c r="H34" i="1"/>
  <c r="H33" i="1"/>
  <c r="H32" i="1"/>
  <c r="H31" i="1"/>
  <c r="H30" i="1"/>
  <c r="F41" i="2"/>
  <c r="E40" i="2"/>
  <c r="E39" i="2"/>
  <c r="E38" i="2"/>
  <c r="E37" i="2"/>
  <c r="N30" i="2"/>
  <c r="J29" i="2"/>
  <c r="N29" i="2" s="1"/>
  <c r="J28" i="2"/>
  <c r="N28" i="2" s="1"/>
  <c r="J27" i="2"/>
  <c r="N27" i="2" s="1"/>
  <c r="J26" i="2"/>
  <c r="N26" i="2" s="1"/>
  <c r="E26" i="2"/>
  <c r="J25" i="2"/>
  <c r="N25" i="2" s="1"/>
  <c r="D25" i="2"/>
  <c r="E25" i="2" s="1"/>
  <c r="A25" i="2"/>
  <c r="J24" i="2"/>
  <c r="N24" i="2" s="1"/>
  <c r="E24" i="2"/>
  <c r="A24" i="2"/>
  <c r="J23" i="2"/>
  <c r="N23" i="2" s="1"/>
  <c r="E23" i="2"/>
  <c r="A23" i="2"/>
  <c r="J22" i="2"/>
  <c r="N22" i="2" s="1"/>
  <c r="E22" i="2"/>
  <c r="A22" i="2"/>
  <c r="J21" i="2"/>
  <c r="N21" i="2" s="1"/>
  <c r="E21" i="2"/>
  <c r="A21" i="2"/>
  <c r="J20" i="2"/>
  <c r="N20" i="2" s="1"/>
  <c r="E20" i="2"/>
  <c r="A20" i="2"/>
  <c r="J19" i="2"/>
  <c r="N19" i="2" s="1"/>
  <c r="E19" i="2"/>
  <c r="A19" i="2"/>
  <c r="J18" i="2"/>
  <c r="N18" i="2" s="1"/>
  <c r="C18" i="2"/>
  <c r="E18" i="2" s="1"/>
  <c r="A18" i="2"/>
  <c r="F15" i="2"/>
  <c r="C15" i="2"/>
  <c r="E11" i="2"/>
  <c r="E10" i="2"/>
  <c r="F9" i="2"/>
  <c r="C36" i="2" s="1"/>
  <c r="E36" i="2" s="1"/>
  <c r="E41" i="2" s="1"/>
  <c r="F43" i="2" s="1"/>
  <c r="C9" i="2"/>
  <c r="E5" i="2"/>
  <c r="E9" i="2" s="1"/>
  <c r="H38" i="1"/>
  <c r="H37" i="1"/>
  <c r="A26" i="1"/>
  <c r="H25" i="1"/>
  <c r="H24" i="1"/>
  <c r="H23" i="1"/>
  <c r="H22" i="1"/>
  <c r="H19" i="1"/>
  <c r="I19" i="1" s="1"/>
  <c r="K19" i="1" s="1"/>
  <c r="I137" i="5"/>
  <c r="G58" i="6"/>
  <c r="F408" i="5"/>
  <c r="H24" i="6"/>
  <c r="G85" i="6"/>
  <c r="H47" i="6"/>
  <c r="F147" i="5"/>
  <c r="M365" i="5"/>
  <c r="K258" i="5"/>
  <c r="N310" i="5"/>
  <c r="L396" i="5"/>
  <c r="K173" i="5"/>
  <c r="L255" i="5"/>
  <c r="N335" i="5"/>
  <c r="N393" i="5"/>
  <c r="E90" i="5"/>
  <c r="K313" i="5"/>
  <c r="N333" i="5"/>
  <c r="N35" i="5"/>
  <c r="E352" i="5"/>
  <c r="N388" i="5"/>
  <c r="F137" i="5"/>
  <c r="N118" i="5"/>
  <c r="N163" i="5"/>
  <c r="N372" i="5"/>
  <c r="N247" i="5"/>
  <c r="L343" i="5"/>
  <c r="N334" i="5"/>
  <c r="N331" i="5"/>
  <c r="E324" i="5"/>
  <c r="N37" i="5"/>
  <c r="N114" i="5"/>
  <c r="N253" i="5"/>
  <c r="K387" i="5"/>
  <c r="N378" i="5"/>
  <c r="N370" i="5"/>
  <c r="N366" i="5"/>
  <c r="N60" i="5"/>
  <c r="N62" i="5"/>
  <c r="N44" i="5"/>
  <c r="N47" i="5"/>
  <c r="N69" i="5"/>
  <c r="N108" i="5"/>
  <c r="N111" i="5"/>
  <c r="N155" i="5"/>
  <c r="N254" i="5"/>
  <c r="N251" i="5"/>
  <c r="F272" i="5"/>
  <c r="F352" i="5"/>
  <c r="N301" i="5"/>
  <c r="N304" i="5"/>
  <c r="N45" i="5"/>
  <c r="N65" i="5"/>
  <c r="N213" i="5"/>
  <c r="N361" i="5"/>
  <c r="M394" i="5"/>
  <c r="E420" i="5"/>
  <c r="F184" i="5"/>
  <c r="I39" i="1"/>
  <c r="K39" i="1" s="1"/>
  <c r="I29" i="1"/>
  <c r="K29" i="1" s="1"/>
  <c r="I22" i="1"/>
  <c r="K22" i="1" s="1"/>
  <c r="I24" i="1"/>
  <c r="K24" i="1" s="1"/>
  <c r="I37" i="1"/>
  <c r="K37" i="1" s="1"/>
  <c r="I54" i="1"/>
  <c r="K54" i="1" s="1"/>
  <c r="I64" i="1"/>
  <c r="K64" i="1" s="1"/>
  <c r="I68" i="1"/>
  <c r="K68" i="1" s="1"/>
  <c r="F103" i="1"/>
  <c r="I62" i="1"/>
  <c r="K62" i="1" s="1"/>
  <c r="I58" i="1"/>
  <c r="K58" i="1" s="1"/>
  <c r="I72" i="1"/>
  <c r="K72" i="1" s="1"/>
  <c r="I33" i="1"/>
  <c r="K33" i="1" s="1"/>
  <c r="I43" i="1"/>
  <c r="K43" i="1" s="1"/>
  <c r="I48" i="1"/>
  <c r="K48" i="1" s="1"/>
  <c r="N59" i="5"/>
  <c r="N25" i="5"/>
  <c r="N70" i="5"/>
  <c r="E236" i="5"/>
  <c r="N244" i="5"/>
  <c r="N246" i="5"/>
  <c r="N248" i="5"/>
  <c r="N42" i="5"/>
  <c r="E184" i="5"/>
  <c r="E190" i="5" s="1"/>
  <c r="E199" i="5" s="1"/>
  <c r="N169" i="5"/>
  <c r="N376" i="5"/>
  <c r="E137" i="5"/>
  <c r="N157" i="5"/>
  <c r="N363" i="5"/>
  <c r="N306" i="5"/>
  <c r="N364" i="5"/>
  <c r="N26" i="5"/>
  <c r="N49" i="5"/>
  <c r="N115" i="5"/>
  <c r="E408" i="5"/>
  <c r="N374" i="5"/>
  <c r="N66" i="5"/>
  <c r="N68" i="5"/>
  <c r="N211" i="5"/>
  <c r="F236" i="5"/>
  <c r="N159" i="5"/>
  <c r="N252" i="5"/>
  <c r="N375" i="5"/>
  <c r="N367" i="5"/>
  <c r="N117" i="5"/>
  <c r="N380" i="5"/>
  <c r="N299" i="5"/>
  <c r="N305" i="5"/>
  <c r="N392" i="5"/>
  <c r="N389" i="5"/>
  <c r="K73" i="5"/>
  <c r="N113" i="5"/>
  <c r="N119" i="5"/>
  <c r="E147" i="5"/>
  <c r="N216" i="5"/>
  <c r="N382" i="5"/>
  <c r="F420" i="5"/>
  <c r="N391" i="5"/>
  <c r="F199" i="5"/>
  <c r="N215" i="5"/>
  <c r="F324" i="5"/>
  <c r="N295" i="5"/>
  <c r="N297" i="5"/>
  <c r="N300" i="5"/>
  <c r="N368" i="5"/>
  <c r="N64" i="5"/>
  <c r="E100" i="5"/>
  <c r="N161" i="5"/>
  <c r="N167" i="5"/>
  <c r="N165" i="5"/>
  <c r="N255" i="5"/>
  <c r="N250" i="5"/>
  <c r="F281" i="5"/>
  <c r="N308" i="5"/>
  <c r="F442" i="5"/>
  <c r="N164" i="5"/>
  <c r="N249" i="5"/>
  <c r="E281" i="5"/>
  <c r="N67" i="5"/>
  <c r="N109" i="5"/>
  <c r="N166" i="5"/>
  <c r="L258" i="5"/>
  <c r="E272" i="5"/>
  <c r="I431" i="5"/>
  <c r="N158" i="5"/>
  <c r="N121" i="5"/>
  <c r="N170" i="5"/>
  <c r="N294" i="5"/>
  <c r="N296" i="5"/>
  <c r="N381" i="5"/>
  <c r="N377" i="5"/>
  <c r="N373" i="5"/>
  <c r="N61" i="5"/>
  <c r="N40" i="5"/>
  <c r="N110" i="5"/>
  <c r="N112" i="5"/>
  <c r="N154" i="5"/>
  <c r="N160" i="5"/>
  <c r="N214" i="5"/>
  <c r="N243" i="5"/>
  <c r="N245" i="5"/>
  <c r="N384" i="5"/>
  <c r="N153" i="5"/>
  <c r="N168" i="5"/>
  <c r="N217" i="5"/>
  <c r="N383" i="5"/>
  <c r="N379" i="5"/>
  <c r="N46" i="5"/>
  <c r="N212" i="5"/>
  <c r="N309" i="5"/>
  <c r="N303" i="5"/>
  <c r="N17" i="5"/>
  <c r="N38" i="5"/>
  <c r="K28" i="5"/>
  <c r="N41" i="5"/>
  <c r="L51" i="5"/>
  <c r="L17" i="5"/>
  <c r="N36" i="5"/>
  <c r="N58" i="5"/>
  <c r="N362" i="5"/>
  <c r="L218" i="5" l="1"/>
  <c r="F506" i="5"/>
  <c r="I26" i="1"/>
  <c r="K26" i="1" s="1"/>
  <c r="O103" i="1"/>
  <c r="E15" i="2"/>
  <c r="N307" i="5"/>
  <c r="K218" i="8"/>
  <c r="I444" i="5"/>
  <c r="R103" i="1"/>
  <c r="N302" i="5"/>
  <c r="L73" i="5"/>
  <c r="N63" i="5"/>
  <c r="N73" i="5" s="1"/>
  <c r="E69" i="5" s="1"/>
  <c r="E73" i="5" s="1"/>
  <c r="N171" i="5"/>
  <c r="N173" i="5" s="1"/>
  <c r="E167" i="5" s="1"/>
  <c r="E173" i="5" s="1"/>
  <c r="L173" i="5"/>
  <c r="N122" i="5"/>
  <c r="L124" i="5"/>
  <c r="N311" i="5"/>
  <c r="N390" i="5"/>
  <c r="J10" i="8"/>
  <c r="N10" i="8" s="1"/>
  <c r="P10" i="8" s="1"/>
  <c r="R10" i="8" s="1"/>
  <c r="V14" i="8" s="1"/>
  <c r="I78" i="1"/>
  <c r="K78" i="1" s="1"/>
  <c r="I92" i="1"/>
  <c r="K92" i="1" s="1"/>
  <c r="H58" i="6"/>
  <c r="G36" i="6"/>
  <c r="H85" i="6"/>
  <c r="J95" i="8"/>
  <c r="J93" i="8"/>
  <c r="L28" i="5"/>
  <c r="C24" i="5" s="1"/>
  <c r="E24" i="5" s="1"/>
  <c r="N24" i="5"/>
  <c r="N28" i="5" s="1"/>
  <c r="E26" i="5" s="1"/>
  <c r="H15" i="6"/>
  <c r="I80" i="1"/>
  <c r="K80" i="1" s="1"/>
  <c r="N369" i="5"/>
  <c r="L387" i="5"/>
  <c r="J33" i="8"/>
  <c r="N33" i="8" s="1"/>
  <c r="P33" i="8" s="1"/>
  <c r="R33" i="8" s="1"/>
  <c r="V36" i="8" s="1"/>
  <c r="L313" i="5"/>
  <c r="N298" i="5"/>
  <c r="J21" i="8"/>
  <c r="N21" i="8" s="1"/>
  <c r="P21" i="8" s="1"/>
  <c r="R21" i="8" s="1"/>
  <c r="V26" i="8" s="1"/>
  <c r="I98" i="1"/>
  <c r="K98" i="1" s="1"/>
  <c r="J27" i="8"/>
  <c r="N27" i="8" s="1"/>
  <c r="P27" i="8" s="1"/>
  <c r="R27" i="8" s="1"/>
  <c r="C27" i="2"/>
  <c r="E27" i="2" s="1"/>
  <c r="G15" i="6"/>
  <c r="H25" i="6"/>
  <c r="H36" i="6" s="1"/>
  <c r="N40" i="8"/>
  <c r="P40" i="8" s="1"/>
  <c r="R40" i="8" s="1"/>
  <c r="N258" i="5"/>
  <c r="E253" i="5" s="1"/>
  <c r="E258" i="5" s="1"/>
  <c r="E17" i="5"/>
  <c r="E78" i="5" s="1"/>
  <c r="H15" i="10"/>
  <c r="I15" i="10" s="1"/>
  <c r="N51" i="5"/>
  <c r="E46" i="5" s="1"/>
  <c r="E51" i="5" s="1"/>
  <c r="N343" i="5"/>
  <c r="E341" i="5" s="1"/>
  <c r="E343" i="5" s="1"/>
  <c r="I348" i="5" s="1"/>
  <c r="I352" i="5" s="1"/>
  <c r="N31" i="2"/>
  <c r="E28" i="2" s="1"/>
  <c r="J4" i="8"/>
  <c r="N4" i="8" s="1"/>
  <c r="J15" i="8"/>
  <c r="N15" i="8" s="1"/>
  <c r="P15" i="8" s="1"/>
  <c r="R15" i="8" s="1"/>
  <c r="V20" i="8" s="1"/>
  <c r="I45" i="10"/>
  <c r="N124" i="5"/>
  <c r="E119" i="5" s="1"/>
  <c r="E124" i="5" s="1"/>
  <c r="E126" i="5" s="1"/>
  <c r="N396" i="5"/>
  <c r="N313" i="5"/>
  <c r="E301" i="5" s="1"/>
  <c r="E313" i="5" s="1"/>
  <c r="I318" i="5" s="1"/>
  <c r="I324" i="5" s="1"/>
  <c r="I86" i="1"/>
  <c r="N385" i="5"/>
  <c r="I461" i="5"/>
  <c r="I476" i="5"/>
  <c r="E481" i="5" s="1"/>
  <c r="E489" i="5" s="1"/>
  <c r="I491" i="5" s="1"/>
  <c r="E496" i="5" s="1"/>
  <c r="E506" i="5" s="1"/>
  <c r="I508" i="5" s="1"/>
  <c r="G58" i="10"/>
  <c r="J51" i="8"/>
  <c r="N51" i="8" s="1"/>
  <c r="P51" i="8" s="1"/>
  <c r="R51" i="8" s="1"/>
  <c r="I39" i="10"/>
  <c r="H41" i="10"/>
  <c r="I41" i="10" s="1"/>
  <c r="I46" i="10"/>
  <c r="I51" i="10"/>
  <c r="I24" i="10"/>
  <c r="I26" i="10"/>
  <c r="I42" i="10"/>
  <c r="I55" i="10"/>
  <c r="S78" i="9"/>
  <c r="N53" i="9"/>
  <c r="S53" i="9" s="1"/>
  <c r="S48" i="9"/>
  <c r="R51" i="9"/>
  <c r="R79" i="9"/>
  <c r="N77" i="9"/>
  <c r="S77" i="9" s="1"/>
  <c r="R46" i="9"/>
  <c r="N55" i="9"/>
  <c r="S55" i="9" s="1"/>
  <c r="N50" i="9"/>
  <c r="R71" i="9"/>
  <c r="S71" i="9" s="1"/>
  <c r="R49" i="9"/>
  <c r="N57" i="9"/>
  <c r="S57" i="9" s="1"/>
  <c r="R70" i="9"/>
  <c r="S70" i="9" s="1"/>
  <c r="R47" i="9"/>
  <c r="R73" i="9"/>
  <c r="G37" i="9"/>
  <c r="G40" i="9" s="1"/>
  <c r="N51" i="9"/>
  <c r="N79" i="9"/>
  <c r="R78" i="9"/>
  <c r="N76" i="9"/>
  <c r="S76" i="9" s="1"/>
  <c r="R50" i="9"/>
  <c r="N52" i="9"/>
  <c r="S52" i="9" s="1"/>
  <c r="N54" i="9"/>
  <c r="S54" i="9" s="1"/>
  <c r="N58" i="9"/>
  <c r="S58" i="9" s="1"/>
  <c r="O81" i="9"/>
  <c r="F76" i="9"/>
  <c r="N46" i="9"/>
  <c r="S49" i="9"/>
  <c r="N66" i="9"/>
  <c r="S66" i="9" s="1"/>
  <c r="Q60" i="9"/>
  <c r="N74" i="9"/>
  <c r="S74" i="9" s="1"/>
  <c r="R64" i="9"/>
  <c r="S64" i="9" s="1"/>
  <c r="E12" i="9"/>
  <c r="S45" i="9"/>
  <c r="N45" i="9"/>
  <c r="N65" i="9"/>
  <c r="S65" i="9" s="1"/>
  <c r="R72" i="9"/>
  <c r="S72" i="9" s="1"/>
  <c r="N75" i="9"/>
  <c r="S75" i="9" s="1"/>
  <c r="S73" i="9"/>
  <c r="G12" i="9"/>
  <c r="E53" i="5"/>
  <c r="E80" i="5"/>
  <c r="K86" i="1"/>
  <c r="K103" i="1" s="1"/>
  <c r="I103" i="1"/>
  <c r="E260" i="5"/>
  <c r="I264" i="5"/>
  <c r="I272" i="5" s="1"/>
  <c r="I186" i="5"/>
  <c r="I5" i="10"/>
  <c r="P103" i="1"/>
  <c r="N37" i="8"/>
  <c r="P37" i="8" s="1"/>
  <c r="R37" i="8" s="1"/>
  <c r="J37" i="8"/>
  <c r="J45" i="8"/>
  <c r="N45" i="8" s="1"/>
  <c r="P45" i="8" s="1"/>
  <c r="R45" i="8" s="1"/>
  <c r="V50" i="8" s="1"/>
  <c r="N103" i="1"/>
  <c r="J63" i="8"/>
  <c r="N63" i="8" s="1"/>
  <c r="P63" i="8" s="1"/>
  <c r="R63" i="8" s="1"/>
  <c r="V68" i="8" s="1"/>
  <c r="I38" i="10"/>
  <c r="I56" i="10"/>
  <c r="G28" i="10"/>
  <c r="E24" i="9"/>
  <c r="G26" i="9" s="1"/>
  <c r="R67" i="9"/>
  <c r="S67" i="9" s="1"/>
  <c r="I40" i="10"/>
  <c r="I19" i="10"/>
  <c r="N69" i="9"/>
  <c r="S69" i="9" s="1"/>
  <c r="J57" i="8"/>
  <c r="N57" i="8" s="1"/>
  <c r="P57" i="8" s="1"/>
  <c r="R57" i="8" s="1"/>
  <c r="V62" i="8" s="1"/>
  <c r="I43" i="10"/>
  <c r="I47" i="10"/>
  <c r="I54" i="10"/>
  <c r="I50" i="10"/>
  <c r="Q81" i="9"/>
  <c r="R48" i="9"/>
  <c r="N56" i="9"/>
  <c r="S56" i="9" s="1"/>
  <c r="R68" i="9"/>
  <c r="S68" i="9" s="1"/>
  <c r="N47" i="9"/>
  <c r="G93" i="9"/>
  <c r="M93" i="8" l="1"/>
  <c r="M218" i="8" s="1"/>
  <c r="L222" i="5"/>
  <c r="N218" i="5"/>
  <c r="N222" i="5" s="1"/>
  <c r="E218" i="5" s="1"/>
  <c r="E222" i="5" s="1"/>
  <c r="H28" i="10"/>
  <c r="I192" i="5"/>
  <c r="I199" i="5" s="1"/>
  <c r="E175" i="5"/>
  <c r="N387" i="5"/>
  <c r="I404" i="5" s="1"/>
  <c r="I408" i="5" s="1"/>
  <c r="E75" i="5"/>
  <c r="E81" i="5"/>
  <c r="N218" i="8"/>
  <c r="K223" i="8" s="1"/>
  <c r="E31" i="2"/>
  <c r="E33" i="2" s="1"/>
  <c r="J218" i="8"/>
  <c r="V39" i="8"/>
  <c r="V44" i="8" s="1"/>
  <c r="V32" i="8" s="1"/>
  <c r="V56" i="8"/>
  <c r="E19" i="5"/>
  <c r="E28" i="5"/>
  <c r="H58" i="10"/>
  <c r="E99" i="9"/>
  <c r="E110" i="9" s="1"/>
  <c r="G113" i="9" s="1"/>
  <c r="G13" i="9"/>
  <c r="S81" i="9"/>
  <c r="G68" i="9" s="1"/>
  <c r="G76" i="9" s="1"/>
  <c r="S60" i="9"/>
  <c r="G48" i="9" s="1"/>
  <c r="G53" i="9" s="1"/>
  <c r="G56" i="9" s="1"/>
  <c r="E66" i="9" s="1"/>
  <c r="E76" i="9" s="1"/>
  <c r="P4" i="8"/>
  <c r="R4" i="8" s="1"/>
  <c r="V9" i="8" s="1"/>
  <c r="N220" i="8" l="1"/>
  <c r="E224" i="5"/>
  <c r="I229" i="5"/>
  <c r="I236" i="5" s="1"/>
  <c r="E147" i="9"/>
  <c r="E156" i="9" s="1"/>
  <c r="G159" i="9" s="1"/>
  <c r="E30" i="5"/>
  <c r="E79" i="5"/>
  <c r="E83" i="5" s="1"/>
  <c r="I84" i="5" s="1"/>
  <c r="F88" i="5" s="1"/>
  <c r="F90" i="5" s="1"/>
  <c r="G79" i="9"/>
  <c r="P218" i="8"/>
  <c r="I88" i="5" l="1"/>
  <c r="I90" i="5" s="1"/>
  <c r="R218" i="8"/>
  <c r="K220" i="8" s="1"/>
  <c r="F527" i="9" l="1"/>
  <c r="G530" i="9" s="1"/>
</calcChain>
</file>

<file path=xl/sharedStrings.xml><?xml version="1.0" encoding="utf-8"?>
<sst xmlns="http://schemas.openxmlformats.org/spreadsheetml/2006/main" count="4032" uniqueCount="1301">
  <si>
    <t>STT</t>
  </si>
  <si>
    <t>NGÀY XUẤT</t>
  </si>
  <si>
    <t>THÔNG TIN TÀU</t>
  </si>
  <si>
    <t>THANH TOÁN</t>
  </si>
  <si>
    <t>TÊN TÀU</t>
  </si>
  <si>
    <t>SỐ CONT</t>
  </si>
  <si>
    <t>SỐ SEAL</t>
  </si>
  <si>
    <t>SỐ LƯỢNG</t>
  </si>
  <si>
    <t>ĐƠN GIÁ</t>
  </si>
  <si>
    <t>THÀNH TIỀN</t>
  </si>
  <si>
    <t>BOMAR HANBURG V.1606 N</t>
  </si>
  <si>
    <t>TCLU1061797</t>
  </si>
  <si>
    <t>DFOU6114545</t>
  </si>
  <si>
    <t>DELOS WAVE V.1607N</t>
  </si>
  <si>
    <t>TRIU8795930</t>
  </si>
  <si>
    <t>TGHU9974981</t>
  </si>
  <si>
    <t>PHILIPPOS - MICHALIS/21N</t>
  </si>
  <si>
    <t>ZCSU5973547</t>
  </si>
  <si>
    <t>ZCSU5131045</t>
  </si>
  <si>
    <t>TỔNG CỘNG</t>
  </si>
  <si>
    <t>CHI PHÍ XUAÁT HAØNG - CAÙ CÔM - SHOUSHAN (Cont 1,2,3,4 - 05&amp;12/08/16)</t>
  </si>
  <si>
    <t>NỘI DUNG</t>
  </si>
  <si>
    <t>THÀNH TIỀN USD</t>
  </si>
  <si>
    <t>TỜ KHAI (lần 1): 05/08/16</t>
  </si>
  <si>
    <t>Cá cơm khô</t>
  </si>
  <si>
    <t>THANH TOÁN:</t>
  </si>
  <si>
    <t>14/09/16 Chuyển NH</t>
  </si>
  <si>
    <t>TỔNG</t>
  </si>
  <si>
    <t>TỜ KHAI (lần 2): 12/08/16</t>
  </si>
  <si>
    <t>Phí lưu kho:</t>
  </si>
  <si>
    <t>Ngày nhập</t>
  </si>
  <si>
    <t>Ngày xuất</t>
  </si>
  <si>
    <t>Số ngày LK</t>
  </si>
  <si>
    <t>SL</t>
  </si>
  <si>
    <t>ĐƠN GIÁ tấn/ngày</t>
  </si>
  <si>
    <t>Tiền Code AL</t>
  </si>
  <si>
    <t>Cá cơm</t>
  </si>
  <si>
    <t>Phí kiểm hàng (kiểm nghiệm Nafi)</t>
  </si>
  <si>
    <t>Phí chiếu xạ, hàng mẫu</t>
  </si>
  <si>
    <t>Phí cấp Health &amp; CO</t>
  </si>
  <si>
    <t>Tiền tàu (container : 680USD)</t>
  </si>
  <si>
    <t>Phí Chứng từ (Bill,THC,Seal)</t>
  </si>
  <si>
    <t>Phí xe kéo cont nội địa (nâng hạ)</t>
  </si>
  <si>
    <t>Phí chuyển Bill Surrender</t>
  </si>
  <si>
    <t>Phí gửi bộ chứng từ qua Trung Quốc</t>
  </si>
  <si>
    <t>Phí bốc xếp</t>
  </si>
  <si>
    <t>Phi lưu kho</t>
  </si>
  <si>
    <t>Phí chuyển tiền ngân hàng 14/09/16</t>
  </si>
  <si>
    <t>TỔNG CỘNG CHI PHÍ</t>
  </si>
  <si>
    <t>VNĐ/Kg =</t>
  </si>
  <si>
    <t>TIỀN (USD)</t>
  </si>
  <si>
    <t>TỶ GIÁ</t>
  </si>
  <si>
    <t>CHUYỀN KHOẢN</t>
  </si>
  <si>
    <t>Tiền hàng</t>
  </si>
  <si>
    <t>Bùi Thị Diện</t>
  </si>
  <si>
    <t>Nguyễn Đình Nguyên</t>
  </si>
  <si>
    <t>Hồ Thiên Trang</t>
  </si>
  <si>
    <t>TỔNG CỘNG:</t>
  </si>
  <si>
    <t>CÒN LẠI CHI PHÍ:</t>
  </si>
  <si>
    <t>ZGLV143938</t>
  </si>
  <si>
    <t>ZGLV141257</t>
  </si>
  <si>
    <t>SITC GUANGDONG V.1619N</t>
  </si>
  <si>
    <t>SEGU9328936</t>
  </si>
  <si>
    <t>SEGU9359310</t>
  </si>
  <si>
    <t>SITB507533</t>
  </si>
  <si>
    <t>SITB507572</t>
  </si>
  <si>
    <t>IRENES RESPECT V.1609N</t>
  </si>
  <si>
    <t>TEMU9320269</t>
  </si>
  <si>
    <t>SZLU9682820</t>
  </si>
  <si>
    <t>CBHU2825846</t>
  </si>
  <si>
    <t>SXRU1634108</t>
  </si>
  <si>
    <t>ZCSU5968828</t>
  </si>
  <si>
    <t>ZCSU5826783</t>
  </si>
  <si>
    <t>A-174340</t>
  </si>
  <si>
    <t>A-174266</t>
  </si>
  <si>
    <t>Tiền tàu (container : 750USD)</t>
  </si>
  <si>
    <t>Phí xe kéo cont nâng hạ (Bình Thuận)</t>
  </si>
  <si>
    <t>CHI PHÍ XUAÁT HAØNG - CAÙ CÔM - SHOUSHAN (Cont 5,6 - 19/10/16)</t>
  </si>
  <si>
    <t>CHI PHÍ XUAÁT HAØNG - CAÙ CÔM - SHOUSHAN (Cont 7,8,9,10,11,12 - 31/10/16 &amp; 04/11/16)</t>
  </si>
  <si>
    <t>Dán ticker, xếp lên cont</t>
  </si>
  <si>
    <t>Bình Thuận</t>
  </si>
  <si>
    <t>Toàn Phát</t>
  </si>
  <si>
    <t>GHI CHÚ</t>
  </si>
  <si>
    <t>SỐ THÙNG</t>
  </si>
  <si>
    <t>94C-00277</t>
  </si>
  <si>
    <t>69L-6793</t>
  </si>
  <si>
    <t>69C-02647</t>
  </si>
  <si>
    <t>69C-02782</t>
  </si>
  <si>
    <t>69C-00752</t>
  </si>
  <si>
    <t>51C-75246</t>
  </si>
  <si>
    <t>69C-02297</t>
  </si>
  <si>
    <t>69C-00957</t>
  </si>
  <si>
    <t>69L-6765</t>
  </si>
  <si>
    <t>69C-01442</t>
  </si>
  <si>
    <t>69C-01528</t>
  </si>
  <si>
    <t>67C-01213</t>
  </si>
  <si>
    <t>60C-27648</t>
  </si>
  <si>
    <t>CHI PHÍ XUAÁT HAØNG - CAÙ CÔM - SHOUSHAN (Cont đi xe - 31/10/16)</t>
  </si>
  <si>
    <t>69C-00897</t>
  </si>
  <si>
    <t>36C-12732</t>
  </si>
  <si>
    <t>67L-4549</t>
  </si>
  <si>
    <t>69C-01066</t>
  </si>
  <si>
    <t>69C-6793</t>
  </si>
  <si>
    <t>DIỄN GIẢI</t>
  </si>
  <si>
    <t>51C-70788</t>
  </si>
  <si>
    <t>Kho Toàn Phát (10T)</t>
  </si>
  <si>
    <t>ĐG tấn/ngày</t>
  </si>
  <si>
    <t>Phí xe kéo cont nâng hạ (Toàn Phát)</t>
  </si>
  <si>
    <t>An Lạc</t>
  </si>
  <si>
    <t>CHI PHÍ XUAÁT HAØNG - CAÙ CÔM - SHOUSHAN (Cont 13,14,15,16 - 08,10&amp;11/11/16)</t>
  </si>
  <si>
    <t>Phơi lại kiểm Nafi (13T)</t>
  </si>
  <si>
    <t>Kiểm Nafi</t>
  </si>
  <si>
    <t>Tiền hàng 11/11/16</t>
  </si>
  <si>
    <t>Chi phí xuất hàng  (Cont 5,6 - 19/10/16)</t>
  </si>
  <si>
    <t>Chi phí xuất hàng (Cont đi xe - 31/10/16)</t>
  </si>
  <si>
    <t>Chi phí xuất hàng (Cont 7,8,9,10,11,12 - 31/10/16 &amp; 04/11/16)</t>
  </si>
  <si>
    <t>Chi phí xuất hàng (Cont 13,14,15,16 - 08,10&amp;11/11/16)</t>
  </si>
  <si>
    <t>PHÍ CHUYỂN TIỀN</t>
  </si>
  <si>
    <t>Trả lại (04/11/16)</t>
  </si>
  <si>
    <t>69C-02742</t>
  </si>
  <si>
    <t>51C-60420</t>
  </si>
  <si>
    <t>64C-03511</t>
  </si>
  <si>
    <t>xếp lên cont, mặt bằng</t>
  </si>
  <si>
    <t>Phí báo có tiền về ngân hàng</t>
  </si>
  <si>
    <t>69C-02564</t>
  </si>
  <si>
    <t>64C-02737</t>
  </si>
  <si>
    <t>64C-01518</t>
  </si>
  <si>
    <t>64C-02411</t>
  </si>
  <si>
    <t>Trả lại</t>
  </si>
  <si>
    <t>Tiền hàng 15/11/16</t>
  </si>
  <si>
    <t>Phí rút tiền, chuyển khoản</t>
  </si>
  <si>
    <t>Nguyễn Văn Quốc</t>
  </si>
  <si>
    <t>CXRU1370962</t>
  </si>
  <si>
    <t>TTNU8197846</t>
  </si>
  <si>
    <t>TRTU8199653</t>
  </si>
  <si>
    <t>JXLU5823167</t>
  </si>
  <si>
    <t>ZGL-V149756</t>
  </si>
  <si>
    <t>ZGL-V149757</t>
  </si>
  <si>
    <t>CXRU1486417</t>
  </si>
  <si>
    <t>TCLU1062134</t>
  </si>
  <si>
    <t>DELOS WAVE V.1610N</t>
  </si>
  <si>
    <t>Tiền hàng 22/11/16</t>
  </si>
  <si>
    <t>DNTN Hải Sản Kim Châu</t>
  </si>
  <si>
    <t>Phí tính dư lần trước 15/11/16</t>
  </si>
  <si>
    <t>60C-07761</t>
  </si>
  <si>
    <t>51C-09189</t>
  </si>
  <si>
    <t>60C-27791</t>
  </si>
  <si>
    <t>CHI PHÍ XUAÁT HAØNG - CAÙ CÔM - SHOUSHAN (Cont 17,18,19,20,21,22,23,24 - 16,17,24&amp;25/11/16)</t>
  </si>
  <si>
    <t>Xuất (A.Mạnh)</t>
  </si>
  <si>
    <t>Thái Tuyết Xương</t>
  </si>
  <si>
    <t>Nguyễn Văn Minh Trí</t>
  </si>
  <si>
    <t>Tiền hàng 25/11/16</t>
  </si>
  <si>
    <t>DNTN THỦY ĐỒNG</t>
  </si>
  <si>
    <t>DNTN THỦY SẢN PHƯƠNG MAI</t>
  </si>
  <si>
    <t>BOMAR HAMBURG V.1610N</t>
  </si>
  <si>
    <t>CXRU1491157</t>
  </si>
  <si>
    <t>SZLU9220415</t>
  </si>
  <si>
    <t>CXRU1367969</t>
  </si>
  <si>
    <t>TRIU8696562</t>
  </si>
  <si>
    <t>AA414494</t>
  </si>
  <si>
    <t>AA414410</t>
  </si>
  <si>
    <t>AA414474</t>
  </si>
  <si>
    <t>AA414471</t>
  </si>
  <si>
    <t>An Lạc (LAGI)</t>
  </si>
  <si>
    <t>SAO PAULO V.07/N</t>
  </si>
  <si>
    <t>NORTHERN VIVACITY V.16011N</t>
  </si>
  <si>
    <t>PHILIPPOS - MICHALIS V.22/N</t>
  </si>
  <si>
    <t>PHILIPPOS - MICHALIS V.23/N</t>
  </si>
  <si>
    <t>ZMOU8810620</t>
  </si>
  <si>
    <t>ZMOU8817076</t>
  </si>
  <si>
    <t>ZCSU5827521</t>
  </si>
  <si>
    <t>ZCSU5831291</t>
  </si>
  <si>
    <t>A-153346</t>
  </si>
  <si>
    <t>A-153388</t>
  </si>
  <si>
    <t>A-153334</t>
  </si>
  <si>
    <t>A-153304</t>
  </si>
  <si>
    <t>Tiền hàng 29/11/16</t>
  </si>
  <si>
    <t>86C-02015</t>
  </si>
  <si>
    <t>60C-01696</t>
  </si>
  <si>
    <t>15C-21999</t>
  </si>
  <si>
    <t>64C-02612</t>
  </si>
  <si>
    <t>51C-04055</t>
  </si>
  <si>
    <t>67C-03070</t>
  </si>
  <si>
    <t>69C-01569</t>
  </si>
  <si>
    <t>69C-012165</t>
  </si>
  <si>
    <t xml:space="preserve">Còn lại: </t>
  </si>
  <si>
    <t>69C-02715</t>
  </si>
  <si>
    <t>34C-07657</t>
  </si>
  <si>
    <t>34C-01862</t>
  </si>
  <si>
    <t>17C-07132</t>
  </si>
  <si>
    <t>CHI PHÍ XUAÁT HAØNG - CAÙ CÔM - SHOUSHAN (Cont 25-&gt;28 &amp; 29-&gt;32 - 28 /11 &amp; 02/12/16)</t>
  </si>
  <si>
    <t>Tiền hàng 07/12/16</t>
  </si>
  <si>
    <t>Chi phí xuất hàng (Cont 25-&gt;32)</t>
  </si>
  <si>
    <t>Ứng trước chi phí xuất hàng</t>
  </si>
  <si>
    <t>Tiền hàng 29/11/16 còn lại</t>
  </si>
  <si>
    <t>1T Khô cá chỉ A</t>
  </si>
  <si>
    <t>1T Khô cá chỉ B</t>
  </si>
  <si>
    <t>1T Khô cá ngân A</t>
  </si>
  <si>
    <t>CHI PHÍ XUAÁT HAØNG - CAÙ CÔM - SHOUSHAN (Cont 33-&gt;46  - 7,9&amp;12/12/16)</t>
  </si>
  <si>
    <t>51C-54739</t>
  </si>
  <si>
    <t>51C-79632</t>
  </si>
  <si>
    <t>Kho Toàn Phát (3T-cơm trắng)</t>
  </si>
  <si>
    <t>57L-6009</t>
  </si>
  <si>
    <t>8 Lộc (P.Quốc)</t>
  </si>
  <si>
    <t>XUẤT BỔ SUNG HÓA ĐƠN T11/2016</t>
  </si>
  <si>
    <t>NGÀY HĐ</t>
  </si>
  <si>
    <t>SỐ HĐ</t>
  </si>
  <si>
    <t>NỘI DUNG HĐ</t>
  </si>
  <si>
    <t>TIỀN VAT</t>
  </si>
  <si>
    <t>0000102</t>
  </si>
  <si>
    <t>0000103</t>
  </si>
  <si>
    <t>0000107</t>
  </si>
  <si>
    <t>0000108</t>
  </si>
  <si>
    <t>0000583</t>
  </si>
  <si>
    <t>0000584</t>
  </si>
  <si>
    <t>0000585</t>
  </si>
  <si>
    <t>0000113</t>
  </si>
  <si>
    <t>0000586</t>
  </si>
  <si>
    <t>Thùng carton (50x29,5x19)</t>
  </si>
  <si>
    <t>Thùng carton (50x29,5x19)
Lô hàng ngày 3/11/16</t>
  </si>
  <si>
    <t>Thùng carton (50x29,5x19)
Lô hàng ngày 4/11/16</t>
  </si>
  <si>
    <t>Tên TK: LÊ KIM NGỌC THẢO</t>
  </si>
  <si>
    <t>Số TK: 0501 000 152 179</t>
  </si>
  <si>
    <t>NH Vietcombank - CN Vĩnh Lộc</t>
  </si>
  <si>
    <t>0000563</t>
  </si>
  <si>
    <t>Tiền hàng 13/12/16</t>
  </si>
  <si>
    <t>Chi phí xuất hàng (Cont 33-&gt;46)</t>
  </si>
  <si>
    <t>Trần Cẩm Thi</t>
  </si>
  <si>
    <t>LONG BEACH TRADER V.005E</t>
  </si>
  <si>
    <t>YMLU5294410</t>
  </si>
  <si>
    <t>YMLL856462</t>
  </si>
  <si>
    <t>YMLU5287387</t>
  </si>
  <si>
    <t>YMLL856463</t>
  </si>
  <si>
    <t>YMLU5317007</t>
  </si>
  <si>
    <t>YMLL856461</t>
  </si>
  <si>
    <t>YMLU5282981</t>
  </si>
  <si>
    <t>YMLL856750</t>
  </si>
  <si>
    <t>NORTHERN VIVACITY V.16012N</t>
  </si>
  <si>
    <t>CCLU8591405</t>
  </si>
  <si>
    <t>CCLU8604420</t>
  </si>
  <si>
    <t>CXRU1372034</t>
  </si>
  <si>
    <t>CXRU1595737</t>
  </si>
  <si>
    <t>CCLU8547721</t>
  </si>
  <si>
    <t>CCLU8600929</t>
  </si>
  <si>
    <t>SZLU9681741</t>
  </si>
  <si>
    <t>CBHU2831710</t>
  </si>
  <si>
    <t>TEMU9126037</t>
  </si>
  <si>
    <t>TCLU1118188</t>
  </si>
  <si>
    <t>JXLU5839374</t>
  </si>
  <si>
    <t>ZCSU5860290</t>
  </si>
  <si>
    <t>ZCSU5171135</t>
  </si>
  <si>
    <t>ZCSU5850223</t>
  </si>
  <si>
    <t>BOX ENDEAVOUR V.19/N</t>
  </si>
  <si>
    <t>ZGL-V110986</t>
  </si>
  <si>
    <t>ZGL-V110983</t>
  </si>
  <si>
    <t>ZGL-V110956</t>
  </si>
  <si>
    <t>ZGL-V110987</t>
  </si>
  <si>
    <t>XUẤT BỔ SUNG HÓA ĐƠN 01/12/16  -&gt;  12/12/16</t>
  </si>
  <si>
    <t>0000111</t>
  </si>
  <si>
    <t>0000116</t>
  </si>
  <si>
    <t>0000112</t>
  </si>
  <si>
    <t>0000596</t>
  </si>
  <si>
    <t>0000595</t>
  </si>
  <si>
    <t>0000115</t>
  </si>
  <si>
    <t>0000120</t>
  </si>
  <si>
    <t>0000121</t>
  </si>
  <si>
    <t>0000122</t>
  </si>
  <si>
    <t>0000123</t>
  </si>
  <si>
    <t>0000601</t>
  </si>
  <si>
    <t>TIỀN VAT (10%)</t>
  </si>
  <si>
    <t>CXRU1501002</t>
  </si>
  <si>
    <t>TEMU9263981</t>
  </si>
  <si>
    <t>DFOU6104845</t>
  </si>
  <si>
    <t>CBHU2827659</t>
  </si>
  <si>
    <t>CXRU1032559</t>
  </si>
  <si>
    <t>SZLU9659809</t>
  </si>
  <si>
    <t>DELOS WAVE V.1611N</t>
  </si>
  <si>
    <t>CHI PHÍ XUAÁT HAØNG - CAÙ CÔM - SHOUSHAN (Cont 47-&gt;58  - 16&amp;19/12/16)</t>
  </si>
  <si>
    <t>Chi phí xuất hàng (Cont 47-&gt;58)</t>
  </si>
  <si>
    <t>Đỗ Bé Sáu</t>
  </si>
  <si>
    <t>Lê Thị Thuận</t>
  </si>
  <si>
    <t>61C-13678</t>
  </si>
  <si>
    <t>84L-2389</t>
  </si>
  <si>
    <t>69C-02165</t>
  </si>
  <si>
    <t>79C-04882</t>
  </si>
  <si>
    <t>69C-01465</t>
  </si>
  <si>
    <t>67C-01825</t>
  </si>
  <si>
    <t>69C-6765</t>
  </si>
  <si>
    <t>64C-02713</t>
  </si>
  <si>
    <t>Tiền hàng 21/12/16</t>
  </si>
  <si>
    <t>PHILIPPOS-MICHALIS V.24/N</t>
  </si>
  <si>
    <t>ZCSU5852735</t>
  </si>
  <si>
    <t>ZCSU5877986</t>
  </si>
  <si>
    <t>ZCSU5113885</t>
  </si>
  <si>
    <t>JXLU5106192</t>
  </si>
  <si>
    <t>JXLU5844391</t>
  </si>
  <si>
    <t>ZCSU5833191</t>
  </si>
  <si>
    <t>ZGL-V112731</t>
  </si>
  <si>
    <t>ZGL-V112735</t>
  </si>
  <si>
    <t>ZGL-V112739</t>
  </si>
  <si>
    <t>ZGL-V112736</t>
  </si>
  <si>
    <t>ZGL-V112758</t>
  </si>
  <si>
    <t>ZGL-V112754</t>
  </si>
  <si>
    <t>Bên An Lạc còn giữ tiền tạm ứng ngày 7/12/16 : 500.000.000</t>
  </si>
  <si>
    <t>0000127</t>
  </si>
  <si>
    <t>0000128</t>
  </si>
  <si>
    <t>0000132</t>
  </si>
  <si>
    <t>0000133</t>
  </si>
  <si>
    <t>0000134</t>
  </si>
  <si>
    <t>0000602</t>
  </si>
  <si>
    <t>0000603</t>
  </si>
  <si>
    <t>0000604</t>
  </si>
  <si>
    <t>0000605</t>
  </si>
  <si>
    <t>0000606</t>
  </si>
  <si>
    <t>XUẤT BỔ SUNG HÓA ĐƠN 16&amp;19/12/16 (CONT 47-&gt;58)</t>
  </si>
  <si>
    <t>84l-2389</t>
  </si>
  <si>
    <t>CHI PHÍ XUAÁT HAØNG - CAÙ CÔM - SHOUSHAN (Cont 59-&gt;70  - 23&amp;27/12/16)</t>
  </si>
  <si>
    <t>94C-01551</t>
  </si>
  <si>
    <t>77C-12332</t>
  </si>
  <si>
    <t>79N-1908</t>
  </si>
  <si>
    <t>60C-30253</t>
  </si>
  <si>
    <t>69C-01125</t>
  </si>
  <si>
    <t>86C-07082</t>
  </si>
  <si>
    <t>Tiền hàng 26/12/16</t>
  </si>
  <si>
    <t>Chi phí xuất hàng (Cont 59-&gt;70)</t>
  </si>
  <si>
    <t>Khai Huy</t>
  </si>
  <si>
    <t>CHI PHÍ XUAÁT HAØNG - CAÙ CÔM - SHOUSHAN (Cont 71&amp;72  - 29/12/16)</t>
  </si>
  <si>
    <t>XUẤT BỔ SUNG HÓA ĐƠN 23,27&amp;29/12/16 (CONT 59-&gt;72)</t>
  </si>
  <si>
    <t>0000139</t>
  </si>
  <si>
    <t>0000140</t>
  </si>
  <si>
    <t>0000146</t>
  </si>
  <si>
    <t>0000147</t>
  </si>
  <si>
    <t>0000149</t>
  </si>
  <si>
    <t>0000151</t>
  </si>
  <si>
    <t>0000152</t>
  </si>
  <si>
    <t>0000153</t>
  </si>
  <si>
    <t>0000154</t>
  </si>
  <si>
    <t>0000607</t>
  </si>
  <si>
    <t>0000609</t>
  </si>
  <si>
    <t>0000610</t>
  </si>
  <si>
    <t>0000613</t>
  </si>
  <si>
    <t>0000615</t>
  </si>
  <si>
    <t>0000616</t>
  </si>
  <si>
    <t>BOMAR HAMBURG 1611N</t>
  </si>
  <si>
    <t>CXRU1367608</t>
  </si>
  <si>
    <t>SZLU9669155</t>
  </si>
  <si>
    <t>BMOU9780445</t>
  </si>
  <si>
    <t>CRSU6149554</t>
  </si>
  <si>
    <t>CXRU1026140</t>
  </si>
  <si>
    <t>SZLU9690701</t>
  </si>
  <si>
    <t>An Lạc + Lagi</t>
  </si>
  <si>
    <t>JXLU5840272</t>
  </si>
  <si>
    <t>ZGL-V112681</t>
  </si>
  <si>
    <t>ZCSU5846990</t>
  </si>
  <si>
    <t>ZGL-V112705</t>
  </si>
  <si>
    <t>ZCSU5876871</t>
  </si>
  <si>
    <t>ZGL-V112689</t>
  </si>
  <si>
    <t>ZCSU5866277</t>
  </si>
  <si>
    <t>ZGL-V112700</t>
  </si>
  <si>
    <t>JXLU5964503</t>
  </si>
  <si>
    <t>ZGL-V110908</t>
  </si>
  <si>
    <t>ZCSU5862440</t>
  </si>
  <si>
    <t xml:space="preserve"> ZGL-V110816</t>
  </si>
  <si>
    <t>SAO PAULO V.09/N</t>
  </si>
  <si>
    <t>TEMU9128066</t>
  </si>
  <si>
    <t>CBHU2976117</t>
  </si>
  <si>
    <t>IRENES RESPECT V.1611N</t>
  </si>
  <si>
    <t>Tiền hàng 07/01/16</t>
  </si>
  <si>
    <t>69L-6440</t>
  </si>
  <si>
    <t>51C-45790</t>
  </si>
  <si>
    <t>69C-02186</t>
  </si>
  <si>
    <t>60C-03253</t>
  </si>
  <si>
    <t>54Z-2200</t>
  </si>
  <si>
    <t>69L-7209</t>
  </si>
  <si>
    <t>69C-02049</t>
  </si>
  <si>
    <t>69C-02647 (cơm trắng)</t>
  </si>
  <si>
    <t>60C-04856</t>
  </si>
  <si>
    <r>
      <t xml:space="preserve">CHI PHÍ LƯU KHO - CAÙ CÔM - SHOUSHAN (CONT </t>
    </r>
    <r>
      <rPr>
        <b/>
        <sz val="14"/>
        <rFont val="Times New Roman"/>
        <family val="1"/>
      </rPr>
      <t xml:space="preserve">ngày </t>
    </r>
    <r>
      <rPr>
        <b/>
        <sz val="14"/>
        <rFont val="VNI-Times"/>
      </rPr>
      <t>29/12/16 - 06/01/17)</t>
    </r>
  </si>
  <si>
    <t>Chi phí xuất hàng (Cont 1-&gt;4 năm 2017)</t>
  </si>
  <si>
    <t>Phí lưu kho (cont ngày 29/12/16 - 06/01/17)</t>
  </si>
  <si>
    <t>TỔNG CỘNG TỒN KHO</t>
  </si>
  <si>
    <t>NORTHERN VIVACITY V.16013N</t>
  </si>
  <si>
    <t>SZLU9671701</t>
  </si>
  <si>
    <t>DFOU6136293</t>
  </si>
  <si>
    <t>TEMU9555221</t>
  </si>
  <si>
    <t>TEMU9147600</t>
  </si>
  <si>
    <t>AA234007</t>
  </si>
  <si>
    <t>An Lạc (637T)</t>
  </si>
  <si>
    <t>An Lạc + Lagi +1T</t>
  </si>
  <si>
    <t>Tiền hàng 11/01/16</t>
  </si>
  <si>
    <t>Nguyễn Văn Quý</t>
  </si>
  <si>
    <t>Phí lưu kho</t>
  </si>
  <si>
    <t>Tiền hàng 08/02/17</t>
  </si>
  <si>
    <t>Tiền hàng 13/02/17</t>
  </si>
  <si>
    <t>Nguyễn Thị Ngọc Thanh</t>
  </si>
  <si>
    <t>Nguyễn Thị Thanh Thủy</t>
  </si>
  <si>
    <t>Trần Thanh Hợi</t>
  </si>
  <si>
    <t>Trần Thị Bích Vân</t>
  </si>
  <si>
    <t xml:space="preserve">Tiền chênh lệch: </t>
  </si>
  <si>
    <t>Tiền hàng 16/02/17</t>
  </si>
  <si>
    <t>Nguyễn Thị Cúc</t>
  </si>
  <si>
    <t>Hoàng Thăng Thành</t>
  </si>
  <si>
    <t>Tiền còn lại đợt trước 13/02/17</t>
  </si>
  <si>
    <t>Tiền còn lại đợt trước 08/02/17</t>
  </si>
  <si>
    <t>Tiền còn lại đợt trước 16/02/17</t>
  </si>
  <si>
    <t>Tiền hàng 22/02/17</t>
  </si>
  <si>
    <t>Nguyễn Minh Tâm</t>
  </si>
  <si>
    <t>Tiền hàng 24/02/17</t>
  </si>
  <si>
    <t>Tiền còn lại đợt trước 22/02/17</t>
  </si>
  <si>
    <t>Tiền hàng 19/12/16</t>
  </si>
  <si>
    <t>Tiền hàng 29/12/16</t>
  </si>
  <si>
    <t>THÀNH TIỀN (USD)</t>
  </si>
  <si>
    <t>Tiền hàng 03/03/17</t>
  </si>
  <si>
    <t>Tiền còn lại đợt trước 24/02/17</t>
  </si>
  <si>
    <t>Trả lại 500tr ứng trước</t>
  </si>
  <si>
    <t>LOT A14,4A STREET,HAISON INDUSTRIAL ZONE,DUC HOA DISTRICT,LONG AN PROVINCE,VIETNAM</t>
  </si>
  <si>
    <t>AN LAC SEAFOOD CO.,LTD</t>
  </si>
  <si>
    <t>AGREEMENT</t>
  </si>
  <si>
    <t>Date : 07/03/2017</t>
  </si>
  <si>
    <t>Party A : AN LAC SEAFOOD CO., LTD.</t>
  </si>
  <si>
    <t>Address: Lot A14, 4A Street, Hai Son Industrial Zone, Duc Hoa District, Long An Province, Vietnam.</t>
  </si>
  <si>
    <t>Tel/ Fax: 84-72-3850606 / 84-72-3850608</t>
  </si>
  <si>
    <t>Represented by: Mr. NGUYEN THIEN DUY – Director</t>
  </si>
  <si>
    <t xml:space="preserve">Party B : </t>
  </si>
  <si>
    <t xml:space="preserve">Add. : </t>
  </si>
  <si>
    <t>Tel. :</t>
  </si>
  <si>
    <t>By Mr .  YANG ZHI WEI</t>
  </si>
  <si>
    <t xml:space="preserve">After discussion , it is must be mutually agreed by both parties to sign for agreement as follow : </t>
  </si>
  <si>
    <t>NO.</t>
  </si>
  <si>
    <t>The agreement have valid from the date was signed .</t>
  </si>
  <si>
    <t>The agreement is made into 02 (two) originals in English , each party keeps 01 (one) original with equal value .</t>
  </si>
  <si>
    <t>PARTY A</t>
  </si>
  <si>
    <t>PARTY B</t>
  </si>
  <si>
    <t>đi xe - 31/10/16</t>
  </si>
  <si>
    <t>DATE OF EXPORT</t>
  </si>
  <si>
    <t>EXPORT INFORMATION</t>
  </si>
  <si>
    <t>QUANTITY
(KGS)</t>
  </si>
  <si>
    <t>UNIT PRICE</t>
  </si>
  <si>
    <t>TOTAL</t>
  </si>
  <si>
    <t>PAYMENT</t>
  </si>
  <si>
    <t>DATE</t>
  </si>
  <si>
    <t>BANK CHARGE</t>
  </si>
  <si>
    <t>AMOUNT (USD)</t>
  </si>
  <si>
    <t>AMOUNT (VNĐ)</t>
  </si>
  <si>
    <t>TRANSFER MONEY TO CUSTOMERS</t>
  </si>
  <si>
    <t>CUSTOMER NAME</t>
  </si>
  <si>
    <t>BANKING FEE</t>
  </si>
  <si>
    <t>MONEY TRANSFER</t>
  </si>
  <si>
    <t>NOTE</t>
  </si>
  <si>
    <t>COST OF EXPORT AND STORAGE</t>
  </si>
  <si>
    <t>THEO DÕI HÀNG XUẤT TRUNG QUỐC</t>
  </si>
  <si>
    <t>CHUYỂN KHÁCH HÀNG</t>
  </si>
  <si>
    <t>CHI PHÍ XUẤT HÀNG &amp; LƯU KHO AN LẠC</t>
  </si>
  <si>
    <t>ĐƠN GIÁ (USD)</t>
  </si>
  <si>
    <t>TỔNG TIỀN HÀNG (USD)</t>
  </si>
  <si>
    <t>NGÀY TT</t>
  </si>
  <si>
    <t>PHÍ NHNN TRỪ</t>
  </si>
  <si>
    <t>SỐ TIỀN (USD)</t>
  </si>
  <si>
    <t>THÀNH TIỀN (VNĐ)</t>
  </si>
  <si>
    <t>CÒN LẠI (VNĐ)</t>
  </si>
  <si>
    <t>TÊN KH</t>
  </si>
  <si>
    <t>PHÍ NGÂN HÀNG</t>
  </si>
  <si>
    <t>SỐ TIỀN CHUYỂN</t>
  </si>
  <si>
    <t>TIỀN TRUNG QUỐC CÒN LẠI:</t>
  </si>
  <si>
    <t>HÀNG XUẤT TRÊN TỜ KHAI</t>
  </si>
  <si>
    <t>TỔNG TIỀN</t>
  </si>
  <si>
    <t>0000171</t>
  </si>
  <si>
    <t>0000173</t>
  </si>
  <si>
    <t>0000176</t>
  </si>
  <si>
    <t>0000183</t>
  </si>
  <si>
    <t>0000189</t>
  </si>
  <si>
    <t>0000190</t>
  </si>
  <si>
    <t>0000194</t>
  </si>
  <si>
    <t>0000211</t>
  </si>
  <si>
    <t>0000225</t>
  </si>
  <si>
    <t>0000226</t>
  </si>
  <si>
    <t>0000229</t>
  </si>
  <si>
    <t>0000245</t>
  </si>
  <si>
    <t>0000246</t>
  </si>
  <si>
    <t>0000261</t>
  </si>
  <si>
    <t>0000263</t>
  </si>
  <si>
    <t>0000264</t>
  </si>
  <si>
    <t>0000267</t>
  </si>
  <si>
    <t>IRENES RESPECT V.1702N</t>
  </si>
  <si>
    <t>CXRU1495949</t>
  </si>
  <si>
    <t>TEMU9559504</t>
  </si>
  <si>
    <t>CXRU1489191</t>
  </si>
  <si>
    <t>TRIU8795689</t>
  </si>
  <si>
    <t>CCLU8543731</t>
  </si>
  <si>
    <t>SEGU9478073</t>
  </si>
  <si>
    <t>BOMAR HAMBURG V.1703N</t>
  </si>
  <si>
    <t>SEGU9136580</t>
  </si>
  <si>
    <t>CXRU1631330</t>
  </si>
  <si>
    <t>CXRU1633225</t>
  </si>
  <si>
    <t>SZLU9219034</t>
  </si>
  <si>
    <t xml:space="preserve">SZLU9675456 </t>
  </si>
  <si>
    <t>BOX ENDEAVOUR V.24/N</t>
  </si>
  <si>
    <t>ZCSU5832791</t>
  </si>
  <si>
    <t>ZCSU5858498</t>
  </si>
  <si>
    <t>ZCSU5834829</t>
  </si>
  <si>
    <t>JXLU5811588</t>
  </si>
  <si>
    <t>JXLU5874040</t>
  </si>
  <si>
    <t>ZCSU5834407</t>
  </si>
  <si>
    <t>ZGL-V101099</t>
  </si>
  <si>
    <t>ZGL-V117057</t>
  </si>
  <si>
    <t>ZGL-V117043</t>
  </si>
  <si>
    <t>ZGL-V101009</t>
  </si>
  <si>
    <t>ZGL-V101098</t>
  </si>
  <si>
    <t>ZGL-V117013</t>
  </si>
  <si>
    <t>Tiền hàng 03/04/17</t>
  </si>
  <si>
    <t>Chi phí xuất hàng (Cont 1-&gt;29 Tháng 03&amp;04 năm 2017)</t>
  </si>
  <si>
    <t>Chi phí kéo cont Bình Thuận (3*9.000.000)</t>
  </si>
  <si>
    <t>0000271</t>
  </si>
  <si>
    <t>0000272</t>
  </si>
  <si>
    <t>0000277</t>
  </si>
  <si>
    <t>0000278</t>
  </si>
  <si>
    <t>0000286</t>
  </si>
  <si>
    <t>0000287</t>
  </si>
  <si>
    <t>XUẤT BỔ SUNG HÓA ĐƠN T03/2017</t>
  </si>
  <si>
    <t>PHÍ BÁO CÓ NH</t>
  </si>
  <si>
    <t>PHILIPPOS-MICHALIS 29/N</t>
  </si>
  <si>
    <t>JXLU5105998</t>
  </si>
  <si>
    <t>ZGL-V101081</t>
  </si>
  <si>
    <t>ZCSU5129958</t>
  </si>
  <si>
    <t>ZGL-V101090</t>
  </si>
  <si>
    <t>ZCSU5851488</t>
  </si>
  <si>
    <t>ZGL-V101144</t>
  </si>
  <si>
    <t>JXLU5822807</t>
  </si>
  <si>
    <t>ZGL-V152674</t>
  </si>
  <si>
    <t>JXLU5821098</t>
  </si>
  <si>
    <t>ZGL-V152675</t>
  </si>
  <si>
    <t>JXLU5840586</t>
  </si>
  <si>
    <t>ZGL-V152676</t>
  </si>
  <si>
    <t>DELOS WAVE V.1703N</t>
  </si>
  <si>
    <t>DFOU6149583</t>
  </si>
  <si>
    <t>BMOU9500267</t>
  </si>
  <si>
    <t>TRIU8878736</t>
  </si>
  <si>
    <t>CXRU1337650</t>
  </si>
  <si>
    <t>SZLU9670916</t>
  </si>
  <si>
    <t>SZLU9211223</t>
  </si>
  <si>
    <t>IRENES RESPECT V.1703N</t>
  </si>
  <si>
    <t>TEMU9309418</t>
  </si>
  <si>
    <t>TEMU9330652</t>
  </si>
  <si>
    <t>CXRU1633950</t>
  </si>
  <si>
    <t>TEMU9002653</t>
  </si>
  <si>
    <t>Tiền hàng 18/04/17</t>
  </si>
  <si>
    <t>Tiền hàng 25/04/17</t>
  </si>
  <si>
    <t>DNTN HẢI SẢN KIM CHÂU</t>
  </si>
  <si>
    <t>Chi phí xuất hàng (Cont 30-&gt;33 Ngày 14/04/2017)</t>
  </si>
  <si>
    <t>Tiền hàng 09/05/17</t>
  </si>
  <si>
    <t>Chi phí xuất hàng (Cont 34-&gt;41 Ngày 21/04/2017)</t>
  </si>
  <si>
    <t>Chiếu xạ (TP)</t>
  </si>
  <si>
    <t>77c-09478</t>
  </si>
  <si>
    <t>75C-04571</t>
  </si>
  <si>
    <t>15C-16111</t>
  </si>
  <si>
    <t>79C-06965</t>
  </si>
  <si>
    <t>79C-10062</t>
  </si>
  <si>
    <t>77C-05098</t>
  </si>
  <si>
    <t>61C-08808</t>
  </si>
  <si>
    <t>79C-08233</t>
  </si>
  <si>
    <t>79D-8876</t>
  </si>
  <si>
    <t>51C-31778</t>
  </si>
  <si>
    <t>51C91764</t>
  </si>
  <si>
    <t>79C-07519 (TL)</t>
  </si>
  <si>
    <t>51C-59953</t>
  </si>
  <si>
    <t>67C-01825 (TL)</t>
  </si>
  <si>
    <t>67C-01213 (TL)</t>
  </si>
  <si>
    <t>61C-18405</t>
  </si>
  <si>
    <t>69C-01937</t>
  </si>
  <si>
    <t>69C-00294</t>
  </si>
  <si>
    <t>94C02180</t>
  </si>
  <si>
    <t>79C-04533 (TL)</t>
  </si>
  <si>
    <t>Dương Quý Phương</t>
  </si>
  <si>
    <t>Số ngày tính LK</t>
  </si>
  <si>
    <t>XUẤT BỔ SUNG HÓA ĐƠN T04/2017</t>
  </si>
  <si>
    <t>0000314</t>
  </si>
  <si>
    <t>0000315</t>
  </si>
  <si>
    <t>0000339</t>
  </si>
  <si>
    <t>0000343</t>
  </si>
  <si>
    <t>0000344</t>
  </si>
  <si>
    <t>0000663</t>
  </si>
  <si>
    <t>0000665</t>
  </si>
  <si>
    <t>0000671</t>
  </si>
  <si>
    <t>0000662</t>
  </si>
  <si>
    <t>Tiền dư ngày 09/05/17</t>
  </si>
  <si>
    <t>Tiền hàng 13/05/17</t>
  </si>
  <si>
    <t>46C-03511</t>
  </si>
  <si>
    <t>79C-04602</t>
  </si>
  <si>
    <t>79C-06015</t>
  </si>
  <si>
    <t>64C-02612 (TL)</t>
  </si>
  <si>
    <t>64C-02713 (TL)</t>
  </si>
  <si>
    <t>51C-45790 (TL)</t>
  </si>
  <si>
    <t>64C-02411 (TL)</t>
  </si>
  <si>
    <t>64C-03949 (TL)</t>
  </si>
  <si>
    <t>79C-10447</t>
  </si>
  <si>
    <t>Chi phí xuất hàng (Cont 42-&gt;53)</t>
  </si>
  <si>
    <t>BOMAR HAMBURG V.1704N</t>
  </si>
  <si>
    <t>TEMU9292001</t>
  </si>
  <si>
    <t xml:space="preserve"> DFOU6153238</t>
  </si>
  <si>
    <t>DFOU6115372</t>
  </si>
  <si>
    <t>CBHU2814414</t>
  </si>
  <si>
    <t>TTNU8006852</t>
  </si>
  <si>
    <t>TEMU9112373</t>
  </si>
  <si>
    <t>TEMU9148360</t>
  </si>
  <si>
    <t>SZLU9016741</t>
  </si>
  <si>
    <t>DELOS WAVE V.1704N</t>
  </si>
  <si>
    <t>BMOU9779254</t>
  </si>
  <si>
    <t>TEMU9331514</t>
  </si>
  <si>
    <t>CXRU1227205</t>
  </si>
  <si>
    <t>CXRU1035521</t>
  </si>
  <si>
    <t>TEMU9202230</t>
  </si>
  <si>
    <t>TTNU8074646</t>
  </si>
  <si>
    <t>IRENES RESPECT V.1704N</t>
  </si>
  <si>
    <t>CXRU1230240</t>
  </si>
  <si>
    <t>CBHU2830035</t>
  </si>
  <si>
    <t>CXRU1546100</t>
  </si>
  <si>
    <t>SZLU9671980</t>
  </si>
  <si>
    <t>TEMU9471840</t>
  </si>
  <si>
    <t>CXRU1212951</t>
  </si>
  <si>
    <t>PHILIPPOS-MICHALIS V.31/N</t>
  </si>
  <si>
    <t>ZCSU5126795</t>
  </si>
  <si>
    <t>ZGL-V148557
ZGL-V148554</t>
  </si>
  <si>
    <t>TRIU8729500</t>
  </si>
  <si>
    <t>ZGL-V148554
ZGL-V148554</t>
  </si>
  <si>
    <t>ZCSU5128674</t>
  </si>
  <si>
    <t>ZGL-V148556</t>
  </si>
  <si>
    <t>ZCSU5879947</t>
  </si>
  <si>
    <t>ZGL-V148555</t>
  </si>
  <si>
    <t>CAIU5471068</t>
  </si>
  <si>
    <t>ZGL-V148553</t>
  </si>
  <si>
    <t>SZLU9063949</t>
  </si>
  <si>
    <t>ZGL-V148552</t>
  </si>
  <si>
    <t>0000351</t>
  </si>
  <si>
    <t>0000356</t>
  </si>
  <si>
    <t>0000358</t>
  </si>
  <si>
    <t>0000361</t>
  </si>
  <si>
    <t>0000678</t>
  </si>
  <si>
    <t>0000679</t>
  </si>
  <si>
    <t>0000656</t>
  </si>
  <si>
    <t>0000657</t>
  </si>
  <si>
    <t>0000659</t>
  </si>
  <si>
    <t>0000660</t>
  </si>
  <si>
    <t>0000363</t>
  </si>
  <si>
    <t>Tiền hàng 18/05/17</t>
  </si>
  <si>
    <t>Mr. Vương</t>
  </si>
  <si>
    <t>BOMAR HAMBURG V. 1705N</t>
  </si>
  <si>
    <t>SEGU9423810</t>
  </si>
  <si>
    <t>CXRU1347181</t>
  </si>
  <si>
    <t>DFOU6150711</t>
  </si>
  <si>
    <t>TEMU9358095</t>
  </si>
  <si>
    <t>CBHU2821774</t>
  </si>
  <si>
    <t>DFOU6149156</t>
  </si>
  <si>
    <t>YM INAUGURATION V.199/N</t>
  </si>
  <si>
    <t>JXLU5822828</t>
  </si>
  <si>
    <t>JXLU5823188</t>
  </si>
  <si>
    <t>ZCSU5846814</t>
  </si>
  <si>
    <t>JXLU5825072</t>
  </si>
  <si>
    <t>TRLU1710405</t>
  </si>
  <si>
    <t>ZCSU5119923</t>
  </si>
  <si>
    <t>ZGL-V128180</t>
  </si>
  <si>
    <t>ZGL-V128186</t>
  </si>
  <si>
    <t>ZGL-V128135</t>
  </si>
  <si>
    <t>ZGL-V128011</t>
  </si>
  <si>
    <t>ZGL-V128131</t>
  </si>
  <si>
    <t>ZGL-V116818</t>
  </si>
  <si>
    <t>CCLU8608133</t>
  </si>
  <si>
    <t>TEMU9321373</t>
  </si>
  <si>
    <t>TEMU9537927</t>
  </si>
  <si>
    <t>SZLU9691992</t>
  </si>
  <si>
    <t>DFOU6133144</t>
  </si>
  <si>
    <t>TEMU9317413</t>
  </si>
  <si>
    <t>NORTHERN VIVACITY V.17005N</t>
  </si>
  <si>
    <t>FSL SANTOS V.1701N</t>
  </si>
  <si>
    <t>CXRU1369534</t>
  </si>
  <si>
    <t>CXRU1504589</t>
  </si>
  <si>
    <t>SEGU9341814</t>
  </si>
  <si>
    <t>SEGU9341795</t>
  </si>
  <si>
    <t>THỰC TẾ:</t>
  </si>
  <si>
    <t xml:space="preserve">Tiền tàu </t>
  </si>
  <si>
    <t>Tiền dư ngày 18/05/17</t>
  </si>
  <si>
    <t>Tiền hàng 06/06/17</t>
  </si>
  <si>
    <t>60C-26996</t>
  </si>
  <si>
    <t>51C-58493</t>
  </si>
  <si>
    <t>69C-01835</t>
  </si>
  <si>
    <t>69C-02416</t>
  </si>
  <si>
    <t>69C-02267</t>
  </si>
  <si>
    <t>51C-76258</t>
  </si>
  <si>
    <t>69C-02715(Trả lại)</t>
  </si>
  <si>
    <t>69c-00957</t>
  </si>
  <si>
    <t>69c-01580</t>
  </si>
  <si>
    <t>94c-02180</t>
  </si>
  <si>
    <t>94c-00277</t>
  </si>
  <si>
    <t>64c-02949</t>
  </si>
  <si>
    <t>86c-02273</t>
  </si>
  <si>
    <t>60c-34582</t>
  </si>
  <si>
    <t>79c-10546</t>
  </si>
  <si>
    <t>69c-00897</t>
  </si>
  <si>
    <t>61c-13678</t>
  </si>
  <si>
    <t>64c-01518</t>
  </si>
  <si>
    <t>51c-33320</t>
  </si>
  <si>
    <t>69c-02848</t>
  </si>
  <si>
    <t>69c-01066</t>
  </si>
  <si>
    <t>69c-02772</t>
  </si>
  <si>
    <t>61c-18405</t>
  </si>
  <si>
    <t>69c-01580 Trả lại</t>
  </si>
  <si>
    <t>51C-45790 Trả lại</t>
  </si>
  <si>
    <t>69C-00897 Trả lại</t>
  </si>
  <si>
    <t>XUẤT BỔ SUNG HÓA ĐƠN T05/2017</t>
  </si>
  <si>
    <t>0000370</t>
  </si>
  <si>
    <t>0000372</t>
  </si>
  <si>
    <t>0000373</t>
  </si>
  <si>
    <t>0000377</t>
  </si>
  <si>
    <t>0000378</t>
  </si>
  <si>
    <t>0000380</t>
  </si>
  <si>
    <t>0000388</t>
  </si>
  <si>
    <t>0000389</t>
  </si>
  <si>
    <t>0000393</t>
  </si>
  <si>
    <t>0000396</t>
  </si>
  <si>
    <t>0000398</t>
  </si>
  <si>
    <t>0000402</t>
  </si>
  <si>
    <t>0000404</t>
  </si>
  <si>
    <t>0000407</t>
  </si>
  <si>
    <t>0000412</t>
  </si>
  <si>
    <t>0000416</t>
  </si>
  <si>
    <t>0000421</t>
  </si>
  <si>
    <t>Ngày tính LK</t>
  </si>
  <si>
    <t>Phí đóng hàng Toàn Phát (tối)</t>
  </si>
  <si>
    <t>Phí lựa lại cá cơm</t>
  </si>
  <si>
    <t>Tiền ứng 1/6/17</t>
  </si>
  <si>
    <t>Long Đức Tâm</t>
  </si>
  <si>
    <t>Chi phí xuất hàng (Cont 60-&gt;81) (22 cont)</t>
  </si>
  <si>
    <t>Chi phí xuất hàng (Cont 54-&gt;59) ( 6 cont)</t>
  </si>
  <si>
    <t>ARICA BRIDGE V.1701N</t>
  </si>
  <si>
    <t>CCLU8610655</t>
  </si>
  <si>
    <t>CXRU1489062</t>
  </si>
  <si>
    <t xml:space="preserve">CXRU1346890
 </t>
  </si>
  <si>
    <t>BMOU9500077</t>
  </si>
  <si>
    <t>AL T/ứng (1/6/17)</t>
  </si>
  <si>
    <t>Tiền hàng 22/06/17</t>
  </si>
  <si>
    <t>69C-02661</t>
  </si>
  <si>
    <t>69C-02051</t>
  </si>
  <si>
    <t>Chi phí xuất hàng (Cont 82-&gt;91) (10 cont)</t>
  </si>
  <si>
    <t>Tiền dư ngày 06/06/17</t>
  </si>
  <si>
    <t>Thêm tiền tàu (120USD/cont)</t>
  </si>
  <si>
    <t>Đoàn Thị Hằng</t>
  </si>
  <si>
    <t>Toàn Phát (Đêm)</t>
  </si>
  <si>
    <t>Tiền hàng 29/06/17</t>
  </si>
  <si>
    <t>Tiền An Lạc ứng</t>
  </si>
  <si>
    <t>Tiền An Lạc trả dư 29/6/17</t>
  </si>
  <si>
    <t>Bên An Lạc còn giữ tiền tạm ứng ngày 29/06/17 : 500.000.000</t>
  </si>
  <si>
    <t>XUẤT BỔ SUNG HÓA ĐƠN T06/2017</t>
  </si>
  <si>
    <t>0000813</t>
  </si>
  <si>
    <t>0000843</t>
  </si>
  <si>
    <t>0000850</t>
  </si>
  <si>
    <t>0000858</t>
  </si>
  <si>
    <t>TR ATHOS V.1701N</t>
  </si>
  <si>
    <t>CXRU1027151</t>
  </si>
  <si>
    <t>BMOU9780086</t>
  </si>
  <si>
    <t>DFOU6147180</t>
  </si>
  <si>
    <t>SZLU9215698</t>
  </si>
  <si>
    <t>QINGDAO V.1705N</t>
  </si>
  <si>
    <t>TRIU8076026</t>
  </si>
  <si>
    <t>CXRU1489294</t>
  </si>
  <si>
    <t>ARICA BRIDGE  V.1702N</t>
  </si>
  <si>
    <t>DFOU6100264</t>
  </si>
  <si>
    <t>CCLU8588438</t>
  </si>
  <si>
    <t>CXRU1633591</t>
  </si>
  <si>
    <t>TEMU9354314</t>
  </si>
  <si>
    <t>TR ATHOS V.1702N</t>
  </si>
  <si>
    <t>CXRU1503896</t>
  </si>
  <si>
    <t>DFOU6149705</t>
  </si>
  <si>
    <t>CXRU1034778</t>
  </si>
  <si>
    <t>SZLU9140686</t>
  </si>
  <si>
    <t xml:space="preserve">TEMU9326755
</t>
  </si>
  <si>
    <t>TEMU9321244</t>
  </si>
  <si>
    <t>Tiền hàng 06/07/17</t>
  </si>
  <si>
    <t>Tiền hàng 10/07/17</t>
  </si>
  <si>
    <t>Chi phí xuất hàng (Cont 92-&gt;101) (10 cont)</t>
  </si>
  <si>
    <t>Phương Tâm Đan</t>
  </si>
  <si>
    <t>77C-09348</t>
  </si>
  <si>
    <t>15C-06111</t>
  </si>
  <si>
    <t>79C-06975</t>
  </si>
  <si>
    <t>69C-03154</t>
  </si>
  <si>
    <t>69C-01800</t>
  </si>
  <si>
    <t>60C-14511</t>
  </si>
  <si>
    <t>60C-22131</t>
  </si>
  <si>
    <t>67L-6793</t>
  </si>
  <si>
    <t>69C-01358</t>
  </si>
  <si>
    <t>51D-07815</t>
  </si>
  <si>
    <t>60C-28304</t>
  </si>
  <si>
    <t>60C-26866</t>
  </si>
  <si>
    <t>65C-08718</t>
  </si>
  <si>
    <t>65C-08044</t>
  </si>
  <si>
    <t>51C-92039</t>
  </si>
  <si>
    <t>79C-06882</t>
  </si>
  <si>
    <t>51C-88330</t>
  </si>
  <si>
    <t>51C-18288</t>
  </si>
  <si>
    <t>Hàng tồn kho:</t>
  </si>
  <si>
    <t>THU</t>
  </si>
  <si>
    <t>CHI</t>
  </si>
  <si>
    <t>CÒN LẠI</t>
  </si>
  <si>
    <t>TIỀN PVCOMBANK</t>
  </si>
  <si>
    <t>TIỀN EXIM BANK</t>
  </si>
  <si>
    <t>CHI TIỀN TRUNG QUỐC</t>
  </si>
  <si>
    <t>CHI TIỀN MỰC</t>
  </si>
  <si>
    <t>TỒN QUỸ TIỀN MẶT</t>
  </si>
  <si>
    <t>TIỀN ĐIỆN KỲ 3/6</t>
  </si>
  <si>
    <t>Hải Trung Anh</t>
  </si>
  <si>
    <t>Toàn Nguyễn</t>
  </si>
  <si>
    <t>Cty CDM</t>
  </si>
  <si>
    <t>Tiền lãi Nguyệt Minh 600tr</t>
  </si>
  <si>
    <t>Tiền hóa đon TQ</t>
  </si>
  <si>
    <t>HÀNG TOÀN PHÁT ( CƠM TRẮNG : 448 THÙNG, 3-5 : 412 THÙNG )</t>
  </si>
  <si>
    <t>Tiền hàng 14/07/17</t>
  </si>
  <si>
    <t>Chi phí xuất hàng (Cont 102-&gt;111) (10 cont)</t>
  </si>
  <si>
    <t>51C-47584</t>
  </si>
  <si>
    <t>51C-60537</t>
  </si>
  <si>
    <t>79C-09894</t>
  </si>
  <si>
    <t>51D-12044</t>
  </si>
  <si>
    <t>57K-9327</t>
  </si>
  <si>
    <t>77C-13720</t>
  </si>
  <si>
    <t>69C-02045</t>
  </si>
  <si>
    <t>69C-02772</t>
  </si>
  <si>
    <t>94C-01690</t>
  </si>
  <si>
    <t>69C-03647</t>
  </si>
  <si>
    <t>69C-00948</t>
  </si>
  <si>
    <t>69L-6167</t>
  </si>
  <si>
    <t>Tiền hàng 19/07/17</t>
  </si>
  <si>
    <t>69C-01580</t>
  </si>
  <si>
    <t>69C-00349</t>
  </si>
  <si>
    <t>69C-03316 (trả 450)</t>
  </si>
  <si>
    <t>69C-02401</t>
  </si>
  <si>
    <t>69C-01935</t>
  </si>
  <si>
    <t>69C-02613</t>
  </si>
  <si>
    <t>60C-16183</t>
  </si>
  <si>
    <t>51C-03980</t>
  </si>
  <si>
    <t>51D-03879</t>
  </si>
  <si>
    <t>51C-84640</t>
  </si>
  <si>
    <t>29C-56658</t>
  </si>
  <si>
    <t>69C-01559</t>
  </si>
  <si>
    <t>69C-03467</t>
  </si>
  <si>
    <t>64C-03411</t>
  </si>
  <si>
    <t>60C-23257</t>
  </si>
  <si>
    <t>51C-93929</t>
  </si>
  <si>
    <t>Tiền hàng 25/07/17</t>
  </si>
  <si>
    <t>Tồn kho:</t>
  </si>
  <si>
    <t>NHẬP</t>
  </si>
  <si>
    <t>XUẤT</t>
  </si>
  <si>
    <t>Xuất trả lại</t>
  </si>
  <si>
    <t>Chi phí xuất hàng (Cont 112-&gt;117) (6 cont)</t>
  </si>
  <si>
    <t>Tiền dư ngày 25/07/17</t>
  </si>
  <si>
    <t>SZLU9682244</t>
  </si>
  <si>
    <t>CCLU8571712</t>
  </si>
  <si>
    <t>DFOU6126850</t>
  </si>
  <si>
    <t>DFOU6146286</t>
  </si>
  <si>
    <t>TTNU8013851</t>
  </si>
  <si>
    <t>DFOU6154548</t>
  </si>
  <si>
    <t>TEMU9289353</t>
  </si>
  <si>
    <t>TEMU9555432</t>
  </si>
  <si>
    <t>DFOU6105733</t>
  </si>
  <si>
    <t>TEMU9062816</t>
  </si>
  <si>
    <t>QINGDAO V.1706N</t>
  </si>
  <si>
    <t>CXRU1502441</t>
  </si>
  <si>
    <t>TEMU9329749</t>
  </si>
  <si>
    <t>CBHU2827366</t>
  </si>
  <si>
    <t>CCLU8612350</t>
  </si>
  <si>
    <t>CXRU1301642</t>
  </si>
  <si>
    <t>DFOU6122983</t>
  </si>
  <si>
    <t>TEMU9310234</t>
  </si>
  <si>
    <t>CCLU8608940</t>
  </si>
  <si>
    <t>CXRU1368780</t>
  </si>
  <si>
    <t>CCLU8581027</t>
  </si>
  <si>
    <t>CXRU1597236</t>
  </si>
  <si>
    <t>TEMU9306804</t>
  </si>
  <si>
    <t>NORTHERN VIVACITY V.17007N</t>
  </si>
  <si>
    <t>94C-02396</t>
  </si>
  <si>
    <t>60C-06885</t>
  </si>
  <si>
    <t>51C-92946</t>
  </si>
  <si>
    <t>60C-05486</t>
  </si>
  <si>
    <t>98C-13484</t>
  </si>
  <si>
    <t>Chi phí xuất hàng (Cont 118-&gt;135) (18 cont)</t>
  </si>
  <si>
    <t>TIỀN VPBANK</t>
  </si>
  <si>
    <t>Tiền hàng 02/08/17</t>
  </si>
  <si>
    <t xml:space="preserve">Tiền hàng </t>
  </si>
  <si>
    <t>SỐ TIỀN YÊU CẦU CHUYỂN CHO KIM CHÂU:</t>
  </si>
  <si>
    <t>SỐ TIỀN CHÊNH LỆCH KIM CHÂU:</t>
  </si>
  <si>
    <t>Tiền hàng 18/08/17</t>
  </si>
  <si>
    <t>Tiền hàng 25/08/17</t>
  </si>
  <si>
    <t>Lưu Trí Minh</t>
  </si>
  <si>
    <t>Tiền hàng 07/09/17</t>
  </si>
  <si>
    <t>Thái Tấn Tân</t>
  </si>
  <si>
    <t>Hà Thị Hiệp</t>
  </si>
  <si>
    <t>Chi phí xuất hàng (Cont 136 -&gt;139) (4 cont)</t>
  </si>
  <si>
    <t>BẢO HIỂM HÀNG XUẤT</t>
  </si>
  <si>
    <t>C. Thanh</t>
  </si>
  <si>
    <t>Tiền hàng 12/09/17</t>
  </si>
  <si>
    <t>Chi phí xuất hàng (Cont 140 -&gt;141) (2 cont)</t>
  </si>
  <si>
    <t>Tiền hàng 15/09/17</t>
  </si>
  <si>
    <t>Phí lưu kho C.Thanh MN:</t>
  </si>
  <si>
    <t>Phí bốc xếp:</t>
  </si>
  <si>
    <t>TC</t>
  </si>
  <si>
    <t>Tiền hàng 20/09/17</t>
  </si>
  <si>
    <t>Chi phí xuất hàng (Cont 142 -&gt;153) (12 cont)</t>
  </si>
  <si>
    <t>CHI PHÍ XUẤT HÀNG  - ÔNG DƯƠNG</t>
  </si>
  <si>
    <t>CHI PHÍ XUẤT HÀNG  - C. THỦY</t>
  </si>
  <si>
    <t>Tiền tàu (container : 1.600USD)</t>
  </si>
  <si>
    <t>Tiền tàu 1.300USD</t>
  </si>
  <si>
    <t>Tiền tàu 500USD</t>
  </si>
  <si>
    <t>TỔNG SỐ CONT:</t>
  </si>
  <si>
    <t>XUẤT BỔ SUNG HÓA ĐƠN T08 (6 CONT) &amp; 09/2017 (38 CONT)</t>
  </si>
  <si>
    <t>Tiền hàng 23/09/17</t>
  </si>
  <si>
    <t>0000904</t>
  </si>
  <si>
    <t>0000920</t>
  </si>
  <si>
    <t>0000923</t>
  </si>
  <si>
    <t>0000924</t>
  </si>
  <si>
    <t>0000928</t>
  </si>
  <si>
    <t>0000935</t>
  </si>
  <si>
    <t>0000937</t>
  </si>
  <si>
    <t>0000946</t>
  </si>
  <si>
    <t>0000947</t>
  </si>
  <si>
    <t>0000950</t>
  </si>
  <si>
    <t>0000951</t>
  </si>
  <si>
    <t>Thái Minh Tân</t>
  </si>
  <si>
    <t>Huỳnh Xuân Sơn</t>
  </si>
  <si>
    <t>Cty TNHH Thanh Phú Lagi</t>
  </si>
  <si>
    <t>Thái Minh Tân (25/9/17)</t>
  </si>
  <si>
    <t>Huỳnh Xuân Sơn (25/9/17)</t>
  </si>
  <si>
    <t>Cty TNHH Thanh Phú Lagi (25/9/17)</t>
  </si>
  <si>
    <t>Tiền hàng 26/09/17</t>
  </si>
  <si>
    <t>TỔNG TIỀN HÀNG VỀ</t>
  </si>
  <si>
    <t>TIỀN CÒN LẠI CHƯA CHUYỂN:</t>
  </si>
  <si>
    <t>Cty TNHH Thanh Phú Lagi (27/9/17)</t>
  </si>
  <si>
    <t>Nguyễn Thị Ngọc Thanh (27/9/17)</t>
  </si>
  <si>
    <t>Nguyễn Minh Tâm  (27/9/17)</t>
  </si>
  <si>
    <t>Tiến điện kỳ 1/9/17</t>
  </si>
  <si>
    <t>51D-15352</t>
  </si>
  <si>
    <t>51C-87401</t>
  </si>
  <si>
    <t>79C-06120</t>
  </si>
  <si>
    <t>51E-00368</t>
  </si>
  <si>
    <t>51C-71508</t>
  </si>
  <si>
    <t>86C-09179</t>
  </si>
  <si>
    <t>86C-05386</t>
  </si>
  <si>
    <t>86C-05049</t>
  </si>
  <si>
    <t>86C-08922</t>
  </si>
  <si>
    <t>86C-08923</t>
  </si>
  <si>
    <t>83M-1287</t>
  </si>
  <si>
    <t>86C-07794</t>
  </si>
  <si>
    <t>86C-02872</t>
  </si>
  <si>
    <t>86C-01003</t>
  </si>
  <si>
    <t>86C-00192</t>
  </si>
  <si>
    <t>51C-20053</t>
  </si>
  <si>
    <t>51C-48552</t>
  </si>
  <si>
    <t>51C-54920</t>
  </si>
  <si>
    <t>86C-07751</t>
  </si>
  <si>
    <t>51C-53790</t>
  </si>
  <si>
    <t>51C-20802</t>
  </si>
  <si>
    <t>51C-18278</t>
  </si>
  <si>
    <t>Nguyễn Thị Ngọc Thanh (12/9/17)</t>
  </si>
  <si>
    <t>Tiền bảo hiểm hàng xuất (2.880.000đ/cont)</t>
  </si>
  <si>
    <t>Phí báo có tiền về ngân hàng (56.5 USD/lần)</t>
  </si>
  <si>
    <t>CHUYỂN KHOẢN:</t>
  </si>
  <si>
    <t>CHI PHÍ XUẤT HÀNG, LƯU KHO &amp; PHÍ CHUYỂN TIỀN:</t>
  </si>
  <si>
    <t>Chi phí xuất hàng (Cont 1 -&gt;3) (3 cont) 65tr</t>
  </si>
  <si>
    <t>Chi phí xuất hàng (Cont 4 -&gt;8) (5 cont) 68tr</t>
  </si>
  <si>
    <t>Chi phí xuất hàng (Cont 9 -&gt;10) (2 cont) lagi 71tr</t>
  </si>
  <si>
    <t>Chi phí xuất hàng (Cont 11 -&gt;20) (10 cont) 68tr</t>
  </si>
  <si>
    <t>LONG AN</t>
  </si>
  <si>
    <t>SỐ TIỀN</t>
  </si>
  <si>
    <t>Điện tháng 9/17</t>
  </si>
  <si>
    <t>TRÀ VINH</t>
  </si>
  <si>
    <t>Cách Nhiệt Gia Nguyên</t>
  </si>
  <si>
    <t>Phi Hải</t>
  </si>
  <si>
    <t>Môi Trường CDM</t>
  </si>
  <si>
    <t>Nguyễn TRình</t>
  </si>
  <si>
    <t>BQL KCN</t>
  </si>
  <si>
    <t>BHXH</t>
  </si>
  <si>
    <t>Điện tháng 9/17 (kỳ 2&amp;3)</t>
  </si>
  <si>
    <t>Cty TNHH TM DV SX Bao Bì Giấy Tân Minh Thư</t>
  </si>
  <si>
    <t>Nga Minh Song</t>
  </si>
  <si>
    <t>Tiên KG</t>
  </si>
  <si>
    <t>Nhưt CM</t>
  </si>
  <si>
    <t>SỐ TIỀN CHUYỀN</t>
  </si>
  <si>
    <t>TTCL Vùng 6</t>
  </si>
  <si>
    <t>BHXH - LA</t>
  </si>
  <si>
    <t>TIỀN MẶT</t>
  </si>
  <si>
    <t>Nộp thẻ (3 người)</t>
  </si>
  <si>
    <t>Phán VT</t>
  </si>
  <si>
    <t>Tiền hóa đơn thùng (TQ)</t>
  </si>
  <si>
    <t>Lưu kho Thăng Long</t>
  </si>
  <si>
    <t>Trí Hảo</t>
  </si>
  <si>
    <t>69C-01618</t>
  </si>
  <si>
    <t>69C-02732</t>
  </si>
  <si>
    <t>69C-00706</t>
  </si>
  <si>
    <t>94C-02615</t>
  </si>
  <si>
    <t>69C-03316</t>
  </si>
  <si>
    <t>69C-01843</t>
  </si>
  <si>
    <t>79C-09190</t>
  </si>
  <si>
    <t>51C-58846</t>
  </si>
  <si>
    <t>51D-16038</t>
  </si>
  <si>
    <t>51C-09515</t>
  </si>
  <si>
    <t>51C-60128</t>
  </si>
  <si>
    <t>51D-15181</t>
  </si>
  <si>
    <t>51C-14612</t>
  </si>
  <si>
    <t>51D-15351</t>
  </si>
  <si>
    <t>51D-10604</t>
  </si>
  <si>
    <t>86C-01569</t>
  </si>
  <si>
    <t>51C-64399</t>
  </si>
  <si>
    <t>49C-11259</t>
  </si>
  <si>
    <t>51D-04808</t>
  </si>
  <si>
    <t>51C-83308</t>
  </si>
  <si>
    <t>51C-92111</t>
  </si>
  <si>
    <t>79D-6975</t>
  </si>
  <si>
    <t>98C-04235</t>
  </si>
  <si>
    <t>34C-10343</t>
  </si>
  <si>
    <t>15C-21308</t>
  </si>
  <si>
    <t>Tiền hàng 3/10/17</t>
  </si>
  <si>
    <t>Chi phí xuất hàng (Cont 154 -&gt;165) (12 cont)</t>
  </si>
  <si>
    <t>Chi phí xuất hàng (Cont 21 -&gt;26) (6 cont) 68tr</t>
  </si>
  <si>
    <t>Tiền còn đợt trước</t>
  </si>
  <si>
    <t>Tiền cá cơm An Lạc (2109T x 13kg x 49.500đ)</t>
  </si>
  <si>
    <t>Nguyễn Thị Cúc (03/10/17)</t>
  </si>
  <si>
    <t>Nguyễn Thị Ngọc Thanh (03/10/17)</t>
  </si>
  <si>
    <t>TỒN KHO:</t>
  </si>
  <si>
    <t>XUẤT BỔ SUNG HÓA ĐƠN T09 - THIÊN THÀNH</t>
  </si>
  <si>
    <t>0000022</t>
  </si>
  <si>
    <t>0000029</t>
  </si>
  <si>
    <t>0000031</t>
  </si>
  <si>
    <t>0000036</t>
  </si>
  <si>
    <t>0000037</t>
  </si>
  <si>
    <t>0000041</t>
  </si>
  <si>
    <t>0000042</t>
  </si>
  <si>
    <t>0000045</t>
  </si>
  <si>
    <t>0000030</t>
  </si>
  <si>
    <t>0000962</t>
  </si>
  <si>
    <t>0000961</t>
  </si>
  <si>
    <t>0000964</t>
  </si>
  <si>
    <t>0000963</t>
  </si>
  <si>
    <t>0000971</t>
  </si>
  <si>
    <t>0000972</t>
  </si>
  <si>
    <t>0000975</t>
  </si>
  <si>
    <t>0000974</t>
  </si>
  <si>
    <t>Nguyễn Thị Thủy (04/10/17)</t>
  </si>
  <si>
    <t>Đậu Văn Định (04/10/17)</t>
  </si>
  <si>
    <t>Ong Dương TM</t>
  </si>
  <si>
    <t>Hàng tồn kho đợt trước:</t>
  </si>
  <si>
    <t>SINOTRANS KAOHSIUNG V.001N</t>
  </si>
  <si>
    <t>TEMU9297467</t>
  </si>
  <si>
    <t>CXRU1211981</t>
  </si>
  <si>
    <t>CCLU8616972</t>
  </si>
  <si>
    <t>TTNU8330630</t>
  </si>
  <si>
    <t>CXRU1496971</t>
  </si>
  <si>
    <t>TEMU9474578</t>
  </si>
  <si>
    <t>TEMU9561754</t>
  </si>
  <si>
    <t>SZLU9672293</t>
  </si>
  <si>
    <t>TTNU8531085</t>
  </si>
  <si>
    <t>CXRU1030089</t>
  </si>
  <si>
    <t>DFOU6148735</t>
  </si>
  <si>
    <t>CCLU8598652</t>
  </si>
  <si>
    <t>ARICA BRIDGE V.1704N</t>
  </si>
  <si>
    <t>CBHU2975785</t>
  </si>
  <si>
    <t>BMOU9503610</t>
  </si>
  <si>
    <t>SINOTRANS KEELUNG V.001N</t>
  </si>
  <si>
    <t>DFOU6115813</t>
  </si>
  <si>
    <t>CBHU2804210</t>
  </si>
  <si>
    <t>SINOTRANS KAOHSIUNG V.003N</t>
  </si>
  <si>
    <t>CCLU8595890</t>
  </si>
  <si>
    <t>TEMU9371923</t>
  </si>
  <si>
    <t>MOUNT BUTLER V.007N</t>
  </si>
  <si>
    <t>CXRU1220160</t>
  </si>
  <si>
    <t>DFOU6148930</t>
  </si>
  <si>
    <t>DFOU6141089</t>
  </si>
  <si>
    <t>SZLU9210530</t>
  </si>
  <si>
    <t>SEGU9478448</t>
  </si>
  <si>
    <t xml:space="preserve">CXRU1492750
</t>
  </si>
  <si>
    <t>TEMU9244359</t>
  </si>
  <si>
    <t>CCLU8600615</t>
  </si>
  <si>
    <t>SZLU9215487</t>
  </si>
  <si>
    <t>CCLU8603234</t>
  </si>
  <si>
    <t xml:space="preserve">TEMU9560064
</t>
  </si>
  <si>
    <t>CCLU8610824</t>
  </si>
  <si>
    <t xml:space="preserve">6310321
</t>
  </si>
  <si>
    <t>TR ATHOS V.1705N</t>
  </si>
  <si>
    <t>DFOU6152210</t>
  </si>
  <si>
    <t>DFOU6154830</t>
  </si>
  <si>
    <t>CBHU2812495</t>
  </si>
  <si>
    <t>BMOU9509351</t>
  </si>
  <si>
    <t xml:space="preserve">SZLU9662000
</t>
  </si>
  <si>
    <t>CCLU8576859</t>
  </si>
  <si>
    <t xml:space="preserve">6290459
</t>
  </si>
  <si>
    <t>SEGU9479300</t>
  </si>
  <si>
    <t>DFOU6145525</t>
  </si>
  <si>
    <t>CXRU1341326</t>
  </si>
  <si>
    <t>TTNU8572103</t>
  </si>
  <si>
    <t>CXRU1498784</t>
  </si>
  <si>
    <t>CXRU1031953</t>
  </si>
  <si>
    <t xml:space="preserve">6273275
</t>
  </si>
  <si>
    <t>MOUNT BUTLER V.008N</t>
  </si>
  <si>
    <t>TEMU9291448</t>
  </si>
  <si>
    <t>DFOU6138819</t>
  </si>
  <si>
    <t>CXRU1633523</t>
  </si>
  <si>
    <t>SZLU9674758</t>
  </si>
  <si>
    <t xml:space="preserve">TEMU9471352
</t>
  </si>
  <si>
    <t>CXRU1491331</t>
  </si>
  <si>
    <t xml:space="preserve">6322446
</t>
  </si>
  <si>
    <t>TEMU9284109</t>
  </si>
  <si>
    <t>DFOU6143163</t>
  </si>
  <si>
    <t xml:space="preserve">TEMU9063129
</t>
  </si>
  <si>
    <t>SEGU9380019</t>
  </si>
  <si>
    <t>SZLU9221371</t>
  </si>
  <si>
    <t>DFOU6162440</t>
  </si>
  <si>
    <t xml:space="preserve">6322398
</t>
  </si>
  <si>
    <t>XUẤT BỔ SUNG HÓA ĐƠN T09&amp;T10 (LẦN 2) - KHỞI NGUYÊN AN</t>
  </si>
  <si>
    <t>0000939</t>
  </si>
  <si>
    <t>Tiền hàng 4/10/17</t>
  </si>
  <si>
    <t>Tiền hàng 19/10/17</t>
  </si>
  <si>
    <t>Chi phí xuất hàng (Cont 27 -&gt;30) (4 cont) 68tr</t>
  </si>
  <si>
    <t>29C-49161</t>
  </si>
  <si>
    <t>79C-01278</t>
  </si>
  <si>
    <t>79C-06963</t>
  </si>
  <si>
    <t>79C-04168</t>
  </si>
  <si>
    <t>Dinh Thị Hải</t>
  </si>
  <si>
    <t>Lê Văn Hiếu</t>
  </si>
  <si>
    <t>Nguyễn Thị Thủy</t>
  </si>
  <si>
    <t xml:space="preserve">Phí lưu kho </t>
  </si>
  <si>
    <t>Chi phí xuất hàng (Cont 166 -&gt;187) (22 cont)</t>
  </si>
  <si>
    <t>Tiền hàng 30/10/17</t>
  </si>
  <si>
    <t>Trần Thị Anh Lan</t>
  </si>
  <si>
    <t>Nguyễn Thị Thành</t>
  </si>
  <si>
    <t>Tiền cá cơm An Lạc (15T x 13kg x 49.500đ)</t>
  </si>
  <si>
    <t>Tiền hàng 06/11/17</t>
  </si>
  <si>
    <t>Chi phí xuất hàng (Cont 188 -&gt;193) (6 cont)</t>
  </si>
  <si>
    <t>Phí lưu kho C.Thanh MN - đến 25/08/17 :</t>
  </si>
  <si>
    <t>Trà Vinh</t>
  </si>
  <si>
    <t>Tiền hàng 07/11/17</t>
  </si>
  <si>
    <t>Phí lưu kho &amp; Chi phí xuất hàng (Cont 34-&gt;41 Ngày 21/04/2017)</t>
  </si>
  <si>
    <t>Tiền hàng 10/11/17</t>
  </si>
  <si>
    <t>Tiền hàng 16/11/17</t>
  </si>
  <si>
    <t>Trần Văn Nam</t>
  </si>
  <si>
    <t>0000984</t>
  </si>
  <si>
    <t>0000991</t>
  </si>
  <si>
    <t>TV</t>
  </si>
  <si>
    <t>0000995</t>
  </si>
  <si>
    <t>0001000</t>
  </si>
  <si>
    <t>0001004</t>
  </si>
  <si>
    <t>0001009</t>
  </si>
  <si>
    <t>0001010</t>
  </si>
  <si>
    <t>0001012</t>
  </si>
  <si>
    <t>0001015</t>
  </si>
  <si>
    <t>0001016</t>
  </si>
  <si>
    <t>XUẤT BỔ SUNG HÓA ĐƠN  - TRÀ VINH</t>
  </si>
  <si>
    <t>TỔNG TIỀN THUẾ:</t>
  </si>
  <si>
    <t>XUẤT BỔ SUNG HÓA ĐƠN - LONG AN</t>
  </si>
  <si>
    <t>Tiền hàng 25/10/17</t>
  </si>
  <si>
    <t>Tiền hàng 27/11/17</t>
  </si>
  <si>
    <t>Chi phí xuất hàng (Cont 194 -&gt;199) (6 cont)</t>
  </si>
  <si>
    <t xml:space="preserve">6/11/17 T/ứng : </t>
  </si>
  <si>
    <t>Đã thanh toán xong</t>
  </si>
  <si>
    <t>Tiền hàng 4/12/17</t>
  </si>
  <si>
    <t>Đậu Văn Định (04/12/17)</t>
  </si>
  <si>
    <t>Tiền hàng An Lạc (4cont): 105.560kg x 48.500đ</t>
  </si>
  <si>
    <t>Chi phí sang thùng &amp; nhân công:</t>
  </si>
  <si>
    <t>30/11/17 Chuyển khoản:</t>
  </si>
  <si>
    <t>05/12/17 Chuyển khoản:</t>
  </si>
  <si>
    <t>Băng keo:</t>
  </si>
  <si>
    <t>Tiền hàng 8/12/17</t>
  </si>
  <si>
    <t>Chi phí xuất hàng (Cont 200 -&gt;201) (2 cont)</t>
  </si>
  <si>
    <t>Tiền hàng 04/12/17</t>
  </si>
  <si>
    <t>Tiền hàng 11/12/17</t>
  </si>
  <si>
    <t>Chi phí xuất hàng (Cont 31 -&gt;42) (12 cont) 68tr</t>
  </si>
  <si>
    <t>15/12/17 Chuyển khoản:</t>
  </si>
  <si>
    <t>Xuất về AL</t>
  </si>
  <si>
    <t>C.Thanh lấy về</t>
  </si>
  <si>
    <t>Chiếu xạ</t>
  </si>
  <si>
    <t>Xuất về kho AL</t>
  </si>
  <si>
    <t>Tiền hàng 18/12/17</t>
  </si>
  <si>
    <t>Tiền hàng 19/12/17</t>
  </si>
  <si>
    <t>Tiền hàng An Lạc (2cont): 52.780kg x 48.500đ</t>
  </si>
  <si>
    <t>Hợp Tác Xã Liên Minh (13/12/17)</t>
  </si>
  <si>
    <t>Nguyễn Thị Thủy (13/12/17)</t>
  </si>
  <si>
    <t>Phí lưu kho C.Thanh MN :</t>
  </si>
  <si>
    <t>Tiền hàng 20/12/17</t>
  </si>
  <si>
    <t>Đậu Văn Định (20/12/17)</t>
  </si>
  <si>
    <t>Tiền hàng 26/12/17</t>
  </si>
  <si>
    <t>Đậu Văn Định</t>
  </si>
  <si>
    <t>Tiền hàng 27/12/17</t>
  </si>
  <si>
    <t>Tiền hàng 28/12/17</t>
  </si>
  <si>
    <t>ZHOUSHAN</t>
  </si>
  <si>
    <t>NGÀY CHUYỂN</t>
  </si>
  <si>
    <t>HUNAN (C. THỦY)</t>
  </si>
  <si>
    <t>AN LẠC</t>
  </si>
  <si>
    <t>CHI PHÍ XUẤT HÀNG, TIỀN HÀNG, LƯU KHO &amp; PHÍ CHUYỂN TIỀN:</t>
  </si>
  <si>
    <t>Xuất bán (2 lần hao hụt 42T) 3CONT</t>
  </si>
  <si>
    <t>Nhập kho AL Xuất bán 3CONT</t>
  </si>
  <si>
    <t xml:space="preserve">Xuất bán </t>
  </si>
  <si>
    <t>Tiền hàng 04/01/18</t>
  </si>
  <si>
    <t>Trả tiền tạm ứng 29/06/17</t>
  </si>
  <si>
    <t>Trả lại tiền chi phí xuất hàng 1cont</t>
  </si>
  <si>
    <t>Diệp huệ Trinh</t>
  </si>
  <si>
    <t>03/01/18 Chuyển khoản:</t>
  </si>
  <si>
    <t>Còn lại AL nợ C.Thanh:</t>
  </si>
  <si>
    <t>Tiền hàng 11/01/18</t>
  </si>
  <si>
    <t>Tiền hàng 17/01/18</t>
  </si>
  <si>
    <t>Tiền hàng An Lạc-30/12/17 (1cont): 26.390kg x 48.500đ</t>
  </si>
  <si>
    <t>Tiền hàng An Lạc-30/12/17 (1cont): 26.390kg x 49.000đ</t>
  </si>
  <si>
    <t>TIỀN USD CHƯA CHUYỂN NGÂN HÀNG :</t>
  </si>
  <si>
    <t>USD</t>
  </si>
  <si>
    <t>Tiền hàng An Lạc-20/01/18 (2cont): 52.780kg x 49.500đ</t>
  </si>
  <si>
    <t>30/01/18 Chuyển khoản:</t>
  </si>
  <si>
    <t>Tiền hàng 29/01/18</t>
  </si>
  <si>
    <t>TIỀN CÒN LẠI  :</t>
  </si>
  <si>
    <t>Đậu Văn Định (19/01/18)</t>
  </si>
  <si>
    <t>Hoàng Thị Ly (03/01/18)</t>
  </si>
  <si>
    <t>Đậu Văn Định (01/02/18)</t>
  </si>
  <si>
    <t>01/02/18 Chuyển khoản:</t>
  </si>
  <si>
    <t>TÊN HÀNG</t>
  </si>
  <si>
    <t>KHÔ CÁ CƠM</t>
  </si>
  <si>
    <t>KHÔ CÁ CHỈ</t>
  </si>
  <si>
    <t>KHÔ CÁ CHỈ B</t>
  </si>
  <si>
    <t>Chi phí xuất hàng (Cont 2) 4.500kg (10/1)</t>
  </si>
  <si>
    <t>Chi phí xuất hàng (Cont 3) 6.000kg (18/1)</t>
  </si>
  <si>
    <t>Chi phí xuất hàng (Cont 43 -&gt;56) (14 cont) 68tr</t>
  </si>
  <si>
    <t>Tiền hàng An Lạc-09/02/18: 1566T x 13kg x 49.500đ</t>
  </si>
  <si>
    <t>Tiền hàng An Lạc-09/02/18: 464T x 13kg x 43.000đ</t>
  </si>
  <si>
    <t>Bảo hiểm hàng xuất (2.880.000đ/cont) 9 cont 15/12-30/12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</si>
  <si>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</si>
  <si>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CHỈ TẨM HQ</t>
  </si>
  <si>
    <t>NGÂN MẶN B</t>
  </si>
  <si>
    <t>LIỆT MẶN B</t>
  </si>
  <si>
    <t>CHI PHÍ XUẤT HÀNG &amp; PHÍ CHUYỂN TIỀN:</t>
  </si>
  <si>
    <t>TIỀN HÀNG:</t>
  </si>
  <si>
    <t>Chi phí xuất hàng (Cont 4) 4.758kg (30/1)</t>
  </si>
  <si>
    <t>Chi phí xuất hàng (Cont 1)    280kg (04/1)</t>
  </si>
  <si>
    <t>Tiền hàng 26/02/18</t>
  </si>
  <si>
    <t>Tiền hàng 06/03/18</t>
  </si>
  <si>
    <t>STT cont</t>
  </si>
  <si>
    <t>43-47</t>
  </si>
  <si>
    <t>50-51</t>
  </si>
  <si>
    <t>53-54</t>
  </si>
  <si>
    <t>40-42</t>
  </si>
  <si>
    <t>27/02/18 Chuyển khoản:</t>
  </si>
  <si>
    <t>05/03/18 Chuyển khoản:</t>
  </si>
  <si>
    <t>NGÀY NHẬP</t>
  </si>
  <si>
    <t>Cơm không đầu</t>
  </si>
  <si>
    <t>Cơm xô</t>
  </si>
  <si>
    <t>kg/thùng</t>
  </si>
  <si>
    <t>Tiền hàng 09/03/18</t>
  </si>
  <si>
    <t>CÔNG NỢ - KIM CHÂU :</t>
  </si>
  <si>
    <t>Còn lại AL nợ K.Châu:</t>
  </si>
  <si>
    <t>CÔNG NỢ - C. THANH MN :</t>
  </si>
  <si>
    <t>AL (C.THANH)</t>
  </si>
  <si>
    <t>R</t>
  </si>
  <si>
    <t>61-62</t>
  </si>
  <si>
    <t>63-65</t>
  </si>
  <si>
    <t>AL (K. CHÂU)</t>
  </si>
  <si>
    <t>Tiền còn lại đợt trước</t>
  </si>
  <si>
    <t>Tiền hàng An Lạc-02/03/18: 2030T x 13kg x 49.500đ</t>
  </si>
  <si>
    <t>Tiền hàng An Lạc-03/03/18: 2030T x 13kg x 49.500đ</t>
  </si>
  <si>
    <t>Tiền hàng An Lạc-08/03/18: 10.150T x 13kg x 49.500đ</t>
  </si>
  <si>
    <t>Huỳnh Xuân Sơn (02/03/18)</t>
  </si>
  <si>
    <t>Đinh Thị Hải (13/03/18)</t>
  </si>
  <si>
    <t>Trần Thị Ngọc Lan (13/03/18)</t>
  </si>
  <si>
    <t>Huỳnh Xuân Sơn (08/03/18)</t>
  </si>
  <si>
    <t>CÔNG NỢ - M. TRÍ (CM) :</t>
  </si>
  <si>
    <t>13/03/18 Chuyển khoản:</t>
  </si>
  <si>
    <t>Còn lại AL nợ :</t>
  </si>
  <si>
    <t>09/03/18 Chuyển khoản:</t>
  </si>
  <si>
    <t>CÔNG NỢ - HUNAN :</t>
  </si>
  <si>
    <t>AL</t>
  </si>
  <si>
    <t>67-70</t>
  </si>
  <si>
    <t>71-72</t>
  </si>
  <si>
    <t>Tiền hàng An Lạc-15/03/18: 1.550T x 15kg x 72.000đ</t>
  </si>
  <si>
    <t>Tiền hàng An Lạc-15/03/18: 1.600T x 15kg x 56.000đ</t>
  </si>
  <si>
    <t>Tiền hàng 23/03/18</t>
  </si>
  <si>
    <t>Đậu Văn Định (23/03/18)</t>
  </si>
  <si>
    <t>23/03/18 Chuyển khoản:</t>
  </si>
  <si>
    <t>73-75</t>
  </si>
  <si>
    <t>Chi phí xuất hàng (Cont 57 -&gt;76) (20 cont) 43tr</t>
  </si>
  <si>
    <t>Phí lưu kho hàng C. Thủy:</t>
  </si>
  <si>
    <t>Tiền hàng An Lạc-15/03/18: 8.120T x 13kg x 49.000đ</t>
  </si>
  <si>
    <t>Tiền hàng An Lạc-22/03/18: 4.060T x 13kg x 49.000đ</t>
  </si>
  <si>
    <t>Phí lưu kho hàng C.Thủy</t>
  </si>
  <si>
    <t>Phí lưu kho hàng C.Thanh</t>
  </si>
  <si>
    <t>51D-15617</t>
  </si>
  <si>
    <t>79C-04449</t>
  </si>
  <si>
    <t>51C-79103</t>
  </si>
  <si>
    <t>51C-59920</t>
  </si>
  <si>
    <t>86c-02128</t>
  </si>
  <si>
    <t>Phí lưu kho hàng C. Thanh:</t>
  </si>
  <si>
    <t>Phí bốc xếp hàng C.Thủy (15.000đ/tấn)</t>
  </si>
  <si>
    <t>Phí bốc xếp hàng C.Thanh (15.000đ/tấn)</t>
  </si>
  <si>
    <t>Tiền xe hàng C.Thanh (5cont x 7tr)</t>
  </si>
  <si>
    <t>CL</t>
  </si>
  <si>
    <t>Cơm trắng</t>
  </si>
  <si>
    <t xml:space="preserve">Tiền hàng (4cont): 8120Tx13kgx48.000đ </t>
  </si>
  <si>
    <t xml:space="preserve">Tiền hàng (2cont): 4060Tx13kgx48.500đ </t>
  </si>
  <si>
    <t xml:space="preserve">Tiền hàng AL mua: 895Tx13kgx48.500đ </t>
  </si>
  <si>
    <t xml:space="preserve">Tiền hàng TQ mua 30/12/17: 1984Tx13kgx48.500đ </t>
  </si>
  <si>
    <t xml:space="preserve">Tiền hàng AL mua 24/12/17: 350Tx13kgx48.500đ </t>
  </si>
  <si>
    <t xml:space="preserve">Tiền hàng AL mua 04/01/18: 10Tx13kgx48.500đ </t>
  </si>
  <si>
    <t xml:space="preserve">Tiền hàng AL mua 20/01/18: 4000Tx13kgx49.000đ </t>
  </si>
  <si>
    <t>Nợ cũ: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</si>
</sst>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_(* #,##0.0_);_(* \(#,##0.0\);_(* &quot;-&quot;??_);_(@_)"/>
    <numFmt numFmtId="173" formatCode="_(* #,##0.000_);_(* \(#,##0.000\);_(* &quot;-&quot;??_);_(@_)"/>
    <numFmt numFmtId="174" formatCode="_(* #,##0.0000000_);_(* \(#,##0.0000000\);_(* &quot;-&quot;??_);_(@_)"/>
    <numFmt numFmtId="175" formatCode="_(* #,##0.00000000000_);_(* \(#,##0.00000000000\);_(* &quot;-&quot;??_);_(@_)"/>
  </numFmts>
  <fonts count="4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9"/>
      <name val="VNI-Times"/>
    </font>
    <font>
      <sz val="10"/>
      <name val="VNI-Times"/>
    </font>
    <font>
      <sz val="12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3"/>
      <color theme="0"/>
      <name val="Times New Roman"/>
      <family val="1"/>
    </font>
    <font>
      <sz val="10.5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sz val="11"/>
      <color rgb="FF222222"/>
      <name val="Times New Roman"/>
      <family val="1"/>
    </font>
    <font>
      <sz val="11"/>
      <color theme="1"/>
      <name val="Times New Roman"/>
      <family val="1"/>
    </font>
    <font>
      <b/>
      <sz val="36"/>
      <name val="Times New Roman"/>
      <family val="1"/>
    </font>
    <font>
      <sz val="12"/>
      <name val="Arial"/>
      <family val="2"/>
    </font>
    <font>
      <b/>
      <sz val="12"/>
      <color rgb="FF000000"/>
      <name val="Times New Roman"/>
      <family val="1"/>
    </font>
    <font>
      <b/>
      <sz val="18"/>
      <name val="Times New Roman"/>
      <family val="1"/>
    </font>
    <font>
      <sz val="11"/>
      <color rgb="FFFF0000"/>
      <name val="Times New Roman"/>
      <family val="1"/>
    </font>
    <font>
      <b/>
      <sz val="20"/>
      <name val="Arial"/>
      <family val="2"/>
    </font>
    <font>
      <b/>
      <sz val="20"/>
      <name val="Times New Roman"/>
      <family val="1"/>
    </font>
    <font>
      <b/>
      <sz val="10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43" fontId="6" fillId="0" borderId="0" applyFont="0" applyFill="0" applyBorder="0" applyAlignment="0" applyProtection="0"/>
    <xf numFmtId="3" fontId="7" fillId="2" borderId="1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2" borderId="1">
      <alignment horizontal="centerContinuous" vertical="center" wrapText="1"/>
    </xf>
    <xf numFmtId="3" fontId="7" fillId="2" borderId="1">
      <alignment horizontal="center" vertical="center" wrapText="1"/>
    </xf>
    <xf numFmtId="2" fontId="6" fillId="0" borderId="0" applyFont="0" applyFill="0" applyBorder="0" applyAlignment="0" applyProtection="0"/>
    <xf numFmtId="0" fontId="11" fillId="0" borderId="9" applyNumberFormat="0" applyAlignment="0" applyProtection="0">
      <alignment horizontal="left" vertical="center"/>
    </xf>
    <xf numFmtId="0" fontId="11" fillId="0" borderId="7">
      <alignment horizontal="left" vertical="center"/>
    </xf>
    <xf numFmtId="3" fontId="7" fillId="0" borderId="10"/>
    <xf numFmtId="3" fontId="12" fillId="0" borderId="11"/>
    <xf numFmtId="3" fontId="7" fillId="0" borderId="1">
      <alignment horizontal="center" vertical="center" wrapText="1"/>
    </xf>
    <xf numFmtId="3" fontId="7" fillId="0" borderId="1">
      <alignment horizontal="centerContinuous" vertical="center"/>
    </xf>
    <xf numFmtId="165" fontId="13" fillId="0" borderId="12"/>
    <xf numFmtId="0" fontId="8" fillId="0" borderId="0"/>
    <xf numFmtId="0" fontId="9" fillId="0" borderId="0"/>
    <xf numFmtId="0" fontId="2" fillId="0" borderId="0"/>
    <xf numFmtId="0" fontId="6" fillId="0" borderId="0"/>
    <xf numFmtId="0" fontId="9" fillId="0" borderId="0"/>
    <xf numFmtId="0" fontId="14" fillId="0" borderId="0">
      <alignment horizontal="centerContinuous"/>
    </xf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16" fillId="0" borderId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/>
    <xf numFmtId="0" fontId="1" fillId="0" borderId="0"/>
    <xf numFmtId="0" fontId="6" fillId="0" borderId="0"/>
  </cellStyleXfs>
  <cellXfs count="939">
    <xf numFmtId="0" fontId="0" fillId="0" borderId="0" xfId="0"/>
    <xf numFmtId="0" fontId="19" fillId="0" borderId="0" xfId="22" applyFont="1" applyAlignment="1">
      <alignment vertical="center"/>
    </xf>
    <xf numFmtId="0" fontId="19" fillId="0" borderId="0" xfId="22" applyFont="1" applyAlignment="1">
      <alignment horizontal="center" vertical="center"/>
    </xf>
    <xf numFmtId="0" fontId="20" fillId="0" borderId="0" xfId="22" applyFont="1" applyAlignment="1">
      <alignment horizontal="center" vertical="center"/>
    </xf>
    <xf numFmtId="0" fontId="21" fillId="0" borderId="0" xfId="22" applyFont="1" applyAlignment="1">
      <alignment vertical="center"/>
    </xf>
    <xf numFmtId="0" fontId="20" fillId="0" borderId="0" xfId="22" applyFont="1" applyAlignment="1">
      <alignment vertical="center"/>
    </xf>
    <xf numFmtId="172" fontId="20" fillId="0" borderId="0" xfId="4" applyNumberFormat="1" applyFont="1" applyAlignment="1">
      <alignment vertical="center"/>
    </xf>
    <xf numFmtId="164" fontId="20" fillId="0" borderId="0" xfId="4" applyNumberFormat="1" applyFont="1" applyAlignment="1">
      <alignment vertical="center"/>
    </xf>
    <xf numFmtId="0" fontId="21" fillId="0" borderId="0" xfId="22" applyFont="1" applyAlignment="1">
      <alignment horizontal="center" vertical="center"/>
    </xf>
    <xf numFmtId="0" fontId="22" fillId="0" borderId="0" xfId="25" applyFont="1" applyAlignment="1">
      <alignment horizontal="center" vertical="center" wrapText="1"/>
    </xf>
    <xf numFmtId="0" fontId="22" fillId="0" borderId="1" xfId="25" applyFont="1" applyBorder="1" applyAlignment="1">
      <alignment horizontal="center" vertical="center" wrapText="1"/>
    </xf>
    <xf numFmtId="172" fontId="22" fillId="0" borderId="1" xfId="3" applyNumberFormat="1" applyFont="1" applyBorder="1" applyAlignment="1">
      <alignment horizontal="center" vertical="center" wrapText="1"/>
    </xf>
    <xf numFmtId="164" fontId="22" fillId="0" borderId="1" xfId="3" applyNumberFormat="1" applyFont="1" applyBorder="1" applyAlignment="1">
      <alignment horizontal="center" vertical="center" wrapText="1"/>
    </xf>
    <xf numFmtId="0" fontId="23" fillId="0" borderId="0" xfId="25" applyFont="1" applyAlignment="1">
      <alignment horizontal="center" vertical="center" wrapText="1"/>
    </xf>
    <xf numFmtId="0" fontId="23" fillId="0" borderId="0" xfId="25" applyFont="1" applyAlignment="1">
      <alignment vertical="center"/>
    </xf>
    <xf numFmtId="0" fontId="22" fillId="0" borderId="3" xfId="25" applyFont="1" applyBorder="1" applyAlignment="1">
      <alignment vertical="center"/>
    </xf>
    <xf numFmtId="172" fontId="23" fillId="0" borderId="3" xfId="3" applyNumberFormat="1" applyFont="1" applyBorder="1" applyAlignment="1">
      <alignment vertical="center"/>
    </xf>
    <xf numFmtId="43" fontId="23" fillId="0" borderId="3" xfId="3" applyFont="1" applyBorder="1" applyAlignment="1">
      <alignment vertical="center"/>
    </xf>
    <xf numFmtId="43" fontId="23" fillId="0" borderId="3" xfId="3" applyNumberFormat="1" applyFont="1" applyBorder="1" applyAlignment="1">
      <alignment vertical="center"/>
    </xf>
    <xf numFmtId="164" fontId="23" fillId="0" borderId="3" xfId="25" applyNumberFormat="1" applyFont="1" applyBorder="1" applyAlignment="1">
      <alignment vertical="center"/>
    </xf>
    <xf numFmtId="0" fontId="23" fillId="0" borderId="5" xfId="25" applyFont="1" applyBorder="1" applyAlignment="1">
      <alignment vertical="center"/>
    </xf>
    <xf numFmtId="172" fontId="23" fillId="0" borderId="5" xfId="3" applyNumberFormat="1" applyFont="1" applyBorder="1" applyAlignment="1">
      <alignment vertical="center"/>
    </xf>
    <xf numFmtId="43" fontId="23" fillId="0" borderId="5" xfId="3" applyFont="1" applyBorder="1" applyAlignment="1">
      <alignment vertical="center"/>
    </xf>
    <xf numFmtId="43" fontId="23" fillId="0" borderId="5" xfId="3" applyNumberFormat="1" applyFont="1" applyBorder="1" applyAlignment="1">
      <alignment vertical="center"/>
    </xf>
    <xf numFmtId="164" fontId="23" fillId="0" borderId="5" xfId="25" applyNumberFormat="1" applyFont="1" applyBorder="1" applyAlignment="1">
      <alignment vertical="center"/>
    </xf>
    <xf numFmtId="0" fontId="22" fillId="0" borderId="0" xfId="25" applyFont="1" applyAlignment="1">
      <alignment vertical="center"/>
    </xf>
    <xf numFmtId="0" fontId="22" fillId="0" borderId="5" xfId="25" applyFont="1" applyBorder="1" applyAlignment="1">
      <alignment vertical="center"/>
    </xf>
    <xf numFmtId="172" fontId="22" fillId="0" borderId="5" xfId="3" applyNumberFormat="1" applyFont="1" applyBorder="1" applyAlignment="1">
      <alignment vertical="center"/>
    </xf>
    <xf numFmtId="43" fontId="22" fillId="0" borderId="5" xfId="3" applyFont="1" applyBorder="1" applyAlignment="1">
      <alignment vertical="center"/>
    </xf>
    <xf numFmtId="43" fontId="22" fillId="0" borderId="5" xfId="3" applyNumberFormat="1" applyFont="1" applyBorder="1" applyAlignment="1">
      <alignment vertical="center"/>
    </xf>
    <xf numFmtId="164" fontId="22" fillId="0" borderId="5" xfId="25" applyNumberFormat="1" applyFont="1" applyBorder="1" applyAlignment="1">
      <alignment vertical="center"/>
    </xf>
    <xf numFmtId="43" fontId="23" fillId="0" borderId="5" xfId="1" applyFont="1" applyBorder="1" applyAlignment="1">
      <alignment vertical="center"/>
    </xf>
    <xf numFmtId="0" fontId="22" fillId="0" borderId="1" xfId="25" applyFont="1" applyBorder="1" applyAlignment="1">
      <alignment vertical="center"/>
    </xf>
    <xf numFmtId="172" fontId="22" fillId="0" borderId="1" xfId="3" applyNumberFormat="1" applyFont="1" applyBorder="1" applyAlignment="1">
      <alignment vertical="center"/>
    </xf>
    <xf numFmtId="43" fontId="23" fillId="0" borderId="0" xfId="1" applyFont="1" applyAlignment="1">
      <alignment vertical="center"/>
    </xf>
    <xf numFmtId="0" fontId="23" fillId="0" borderId="13" xfId="25" applyFont="1" applyBorder="1" applyAlignment="1">
      <alignment vertical="center"/>
    </xf>
    <xf numFmtId="172" fontId="23" fillId="0" borderId="13" xfId="3" applyNumberFormat="1" applyFont="1" applyBorder="1" applyAlignment="1">
      <alignment vertical="center"/>
    </xf>
    <xf numFmtId="43" fontId="23" fillId="0" borderId="13" xfId="3" applyFont="1" applyBorder="1" applyAlignment="1">
      <alignment vertical="center"/>
    </xf>
    <xf numFmtId="43" fontId="23" fillId="0" borderId="13" xfId="3" applyNumberFormat="1" applyFont="1" applyBorder="1" applyAlignment="1">
      <alignment vertical="center"/>
    </xf>
    <xf numFmtId="164" fontId="23" fillId="0" borderId="13" xfId="3" applyNumberFormat="1" applyFont="1" applyBorder="1" applyAlignment="1">
      <alignment vertical="center"/>
    </xf>
    <xf numFmtId="0" fontId="22" fillId="0" borderId="0" xfId="25" applyFont="1" applyBorder="1" applyAlignment="1">
      <alignment vertical="center"/>
    </xf>
    <xf numFmtId="172" fontId="22" fillId="0" borderId="0" xfId="3" applyNumberFormat="1" applyFont="1" applyAlignment="1">
      <alignment vertical="center"/>
    </xf>
    <xf numFmtId="172" fontId="22" fillId="0" borderId="14" xfId="3" applyNumberFormat="1" applyFont="1" applyBorder="1" applyAlignment="1">
      <alignment vertical="center"/>
    </xf>
    <xf numFmtId="43" fontId="22" fillId="0" borderId="0" xfId="3" applyNumberFormat="1" applyFont="1" applyBorder="1" applyAlignment="1">
      <alignment vertical="center"/>
    </xf>
    <xf numFmtId="43" fontId="22" fillId="0" borderId="0" xfId="1" applyFont="1" applyBorder="1" applyAlignment="1">
      <alignment vertical="center"/>
    </xf>
    <xf numFmtId="0" fontId="21" fillId="0" borderId="0" xfId="22" applyFont="1" applyAlignment="1">
      <alignment horizontal="left" vertical="center"/>
    </xf>
    <xf numFmtId="172" fontId="21" fillId="0" borderId="1" xfId="4" applyNumberFormat="1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/>
    </xf>
    <xf numFmtId="164" fontId="21" fillId="0" borderId="1" xfId="4" applyNumberFormat="1" applyFont="1" applyBorder="1" applyAlignment="1">
      <alignment horizontal="center" vertical="center" wrapText="1"/>
    </xf>
    <xf numFmtId="0" fontId="23" fillId="0" borderId="12" xfId="22" applyFont="1" applyBorder="1" applyAlignment="1">
      <alignment horizontal="center" vertical="center"/>
    </xf>
    <xf numFmtId="0" fontId="23" fillId="0" borderId="12" xfId="22" applyFont="1" applyBorder="1" applyAlignment="1">
      <alignment vertical="center"/>
    </xf>
    <xf numFmtId="172" fontId="23" fillId="0" borderId="12" xfId="4" applyNumberFormat="1" applyFont="1" applyBorder="1" applyAlignment="1">
      <alignment vertical="center"/>
    </xf>
    <xf numFmtId="164" fontId="23" fillId="0" borderId="12" xfId="4" applyNumberFormat="1" applyFont="1" applyBorder="1" applyAlignment="1">
      <alignment vertical="center"/>
    </xf>
    <xf numFmtId="14" fontId="23" fillId="0" borderId="2" xfId="22" applyNumberFormat="1" applyFont="1" applyBorder="1" applyAlignment="1">
      <alignment horizontal="center" vertical="center"/>
    </xf>
    <xf numFmtId="0" fontId="23" fillId="0" borderId="2" xfId="22" applyFont="1" applyBorder="1" applyAlignment="1">
      <alignment horizontal="left" vertical="center"/>
    </xf>
    <xf numFmtId="0" fontId="23" fillId="0" borderId="2" xfId="22" applyFont="1" applyBorder="1" applyAlignment="1">
      <alignment horizontal="center" vertical="center"/>
    </xf>
    <xf numFmtId="173" fontId="23" fillId="0" borderId="2" xfId="4" applyNumberFormat="1" applyFont="1" applyBorder="1" applyAlignment="1">
      <alignment horizontal="center" vertical="center"/>
    </xf>
    <xf numFmtId="164" fontId="23" fillId="0" borderId="2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vertical="center"/>
    </xf>
    <xf numFmtId="0" fontId="23" fillId="0" borderId="3" xfId="22" applyFont="1" applyBorder="1" applyAlignment="1">
      <alignment horizontal="center" vertical="center"/>
    </xf>
    <xf numFmtId="0" fontId="23" fillId="0" borderId="3" xfId="22" applyFont="1" applyBorder="1" applyAlignment="1">
      <alignment vertical="center"/>
    </xf>
    <xf numFmtId="172" fontId="23" fillId="0" borderId="3" xfId="4" applyNumberFormat="1" applyFont="1" applyBorder="1" applyAlignment="1">
      <alignment vertical="center"/>
    </xf>
    <xf numFmtId="164" fontId="23" fillId="0" borderId="3" xfId="4" applyNumberFormat="1" applyFont="1" applyBorder="1" applyAlignment="1">
      <alignment vertical="center"/>
    </xf>
    <xf numFmtId="14" fontId="23" fillId="0" borderId="3" xfId="22" applyNumberFormat="1" applyFont="1" applyBorder="1" applyAlignment="1">
      <alignment horizontal="center" vertical="center"/>
    </xf>
    <xf numFmtId="173" fontId="23" fillId="0" borderId="3" xfId="4" applyNumberFormat="1" applyFont="1" applyBorder="1" applyAlignment="1">
      <alignment horizontal="center" vertical="center"/>
    </xf>
    <xf numFmtId="14" fontId="23" fillId="0" borderId="13" xfId="22" applyNumberFormat="1" applyFont="1" applyBorder="1" applyAlignment="1">
      <alignment horizontal="center" vertical="center"/>
    </xf>
    <xf numFmtId="0" fontId="23" fillId="0" borderId="13" xfId="22" applyFont="1" applyBorder="1" applyAlignment="1">
      <alignment horizontal="center" vertical="center"/>
    </xf>
    <xf numFmtId="172" fontId="23" fillId="0" borderId="13" xfId="4" applyNumberFormat="1" applyFont="1" applyBorder="1" applyAlignment="1">
      <alignment horizontal="center" vertical="center"/>
    </xf>
    <xf numFmtId="164" fontId="23" fillId="0" borderId="1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vertical="center"/>
    </xf>
    <xf numFmtId="172" fontId="22" fillId="0" borderId="1" xfId="4" applyNumberFormat="1" applyFont="1" applyBorder="1" applyAlignment="1">
      <alignment vertical="center"/>
    </xf>
    <xf numFmtId="164" fontId="22" fillId="0" borderId="1" xfId="4" applyNumberFormat="1" applyFont="1" applyBorder="1" applyAlignment="1">
      <alignment vertical="center"/>
    </xf>
    <xf numFmtId="0" fontId="22" fillId="0" borderId="1" xfId="22" applyFont="1" applyBorder="1" applyAlignment="1">
      <alignment horizontal="center" vertical="center"/>
    </xf>
    <xf numFmtId="164" fontId="22" fillId="0" borderId="1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43" fontId="4" fillId="0" borderId="0" xfId="22" applyNumberFormat="1" applyFont="1" applyAlignment="1">
      <alignment horizontal="center" vertical="center"/>
    </xf>
    <xf numFmtId="0" fontId="23" fillId="0" borderId="13" xfId="22" applyFont="1" applyBorder="1" applyAlignment="1">
      <alignment vertical="center"/>
    </xf>
    <xf numFmtId="172" fontId="23" fillId="0" borderId="13" xfId="4" applyNumberFormat="1" applyFont="1" applyBorder="1" applyAlignment="1">
      <alignment vertical="center"/>
    </xf>
    <xf numFmtId="164" fontId="23" fillId="0" borderId="13" xfId="4" applyNumberFormat="1" applyFont="1" applyBorder="1" applyAlignment="1">
      <alignment vertical="center"/>
    </xf>
    <xf numFmtId="164" fontId="21" fillId="0" borderId="0" xfId="4" applyNumberFormat="1" applyFont="1" applyAlignment="1">
      <alignment vertical="center"/>
    </xf>
    <xf numFmtId="164" fontId="21" fillId="0" borderId="0" xfId="22" applyNumberFormat="1" applyFont="1" applyAlignment="1">
      <alignment vertical="center"/>
    </xf>
    <xf numFmtId="0" fontId="21" fillId="0" borderId="1" xfId="22" applyFont="1" applyBorder="1" applyAlignment="1">
      <alignment vertical="center" wrapText="1"/>
    </xf>
    <xf numFmtId="164" fontId="21" fillId="0" borderId="1" xfId="4" applyNumberFormat="1" applyFont="1" applyBorder="1" applyAlignment="1">
      <alignment vertical="center" wrapText="1"/>
    </xf>
    <xf numFmtId="0" fontId="21" fillId="0" borderId="0" xfId="22" applyFont="1" applyAlignment="1">
      <alignment vertical="center" wrapText="1"/>
    </xf>
    <xf numFmtId="172" fontId="22" fillId="0" borderId="0" xfId="3" applyNumberFormat="1" applyFont="1" applyBorder="1" applyAlignment="1">
      <alignment vertical="center"/>
    </xf>
    <xf numFmtId="0" fontId="19" fillId="0" borderId="0" xfId="22" applyFont="1" applyAlignment="1">
      <alignment vertical="center" wrapText="1"/>
    </xf>
    <xf numFmtId="164" fontId="23" fillId="0" borderId="3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0" fontId="21" fillId="0" borderId="0" xfId="22" applyFont="1" applyAlignment="1">
      <alignment horizontal="center" vertical="center" wrapText="1"/>
    </xf>
    <xf numFmtId="0" fontId="22" fillId="0" borderId="0" xfId="25" applyFont="1" applyAlignment="1">
      <alignment horizontal="center" vertical="center"/>
    </xf>
    <xf numFmtId="164" fontId="23" fillId="0" borderId="2" xfId="1" applyNumberFormat="1" applyFont="1" applyBorder="1" applyAlignment="1">
      <alignment horizontal="center" vertical="center"/>
    </xf>
    <xf numFmtId="164" fontId="23" fillId="0" borderId="13" xfId="1" applyNumberFormat="1" applyFont="1" applyBorder="1" applyAlignment="1">
      <alignment horizontal="center" vertical="center"/>
    </xf>
    <xf numFmtId="164" fontId="22" fillId="0" borderId="0" xfId="1" applyNumberFormat="1" applyFont="1" applyAlignment="1">
      <alignment vertical="center"/>
    </xf>
    <xf numFmtId="164" fontId="21" fillId="0" borderId="1" xfId="1" applyNumberFormat="1" applyFont="1" applyBorder="1" applyAlignment="1">
      <alignment horizontal="center" vertical="center" wrapText="1"/>
    </xf>
    <xf numFmtId="164" fontId="23" fillId="0" borderId="12" xfId="1" applyNumberFormat="1" applyFont="1" applyBorder="1" applyAlignment="1">
      <alignment vertical="center"/>
    </xf>
    <xf numFmtId="164" fontId="23" fillId="0" borderId="3" xfId="1" applyNumberFormat="1" applyFont="1" applyBorder="1" applyAlignment="1">
      <alignment vertical="center"/>
    </xf>
    <xf numFmtId="164" fontId="22" fillId="0" borderId="1" xfId="1" applyNumberFormat="1" applyFont="1" applyBorder="1" applyAlignment="1">
      <alignment vertical="center"/>
    </xf>
    <xf numFmtId="164" fontId="20" fillId="0" borderId="0" xfId="1" applyNumberFormat="1" applyFont="1" applyAlignment="1">
      <alignment vertical="center"/>
    </xf>
    <xf numFmtId="43" fontId="22" fillId="0" borderId="0" xfId="3" applyNumberFormat="1" applyFont="1" applyBorder="1" applyAlignment="1">
      <alignment horizontal="center" vertical="center"/>
    </xf>
    <xf numFmtId="164" fontId="23" fillId="0" borderId="12" xfId="4" applyNumberFormat="1" applyFont="1" applyBorder="1" applyAlignment="1">
      <alignment horizontal="center" vertical="center"/>
    </xf>
    <xf numFmtId="164" fontId="23" fillId="0" borderId="3" xfId="4" applyNumberFormat="1" applyFont="1" applyBorder="1" applyAlignment="1">
      <alignment horizontal="center" vertical="center"/>
    </xf>
    <xf numFmtId="164" fontId="20" fillId="0" borderId="0" xfId="4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2" fontId="22" fillId="0" borderId="1" xfId="4" applyNumberFormat="1" applyFont="1" applyBorder="1" applyAlignment="1">
      <alignment horizontal="center" vertical="center" wrapText="1"/>
    </xf>
    <xf numFmtId="164" fontId="22" fillId="0" borderId="1" xfId="4" applyNumberFormat="1" applyFont="1" applyBorder="1" applyAlignment="1">
      <alignment horizontal="center" vertical="center" wrapText="1"/>
    </xf>
    <xf numFmtId="0" fontId="23" fillId="0" borderId="0" xfId="22" applyFont="1" applyAlignment="1">
      <alignment vertical="center"/>
    </xf>
    <xf numFmtId="0" fontId="23" fillId="0" borderId="0" xfId="22" applyFont="1" applyAlignment="1">
      <alignment horizontal="center" vertical="center"/>
    </xf>
    <xf numFmtId="0" fontId="22" fillId="0" borderId="0" xfId="22" applyFont="1" applyBorder="1" applyAlignment="1">
      <alignment vertical="center"/>
    </xf>
    <xf numFmtId="172" fontId="22" fillId="0" borderId="0" xfId="4" applyNumberFormat="1" applyFont="1" applyBorder="1" applyAlignment="1">
      <alignment vertical="center"/>
    </xf>
    <xf numFmtId="164" fontId="22" fillId="0" borderId="0" xfId="4" applyNumberFormat="1" applyFont="1" applyBorder="1" applyAlignment="1">
      <alignment vertical="center"/>
    </xf>
    <xf numFmtId="0" fontId="23" fillId="0" borderId="5" xfId="22" applyFont="1" applyBorder="1" applyAlignment="1">
      <alignment horizontal="center" vertical="center"/>
    </xf>
    <xf numFmtId="164" fontId="23" fillId="0" borderId="5" xfId="4" applyNumberFormat="1" applyFont="1" applyBorder="1" applyAlignment="1">
      <alignment vertical="center"/>
    </xf>
    <xf numFmtId="164" fontId="23" fillId="0" borderId="2" xfId="4" applyNumberFormat="1" applyFont="1" applyBorder="1" applyAlignment="1">
      <alignment vertical="center"/>
    </xf>
    <xf numFmtId="0" fontId="23" fillId="0" borderId="5" xfId="22" applyFont="1" applyBorder="1" applyAlignment="1">
      <alignment vertical="center"/>
    </xf>
    <xf numFmtId="172" fontId="23" fillId="0" borderId="5" xfId="4" applyNumberFormat="1" applyFont="1" applyBorder="1" applyAlignment="1">
      <alignment vertical="center"/>
    </xf>
    <xf numFmtId="164" fontId="23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5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3" fontId="22" fillId="0" borderId="1" xfId="1" applyNumberFormat="1" applyFont="1" applyBorder="1" applyAlignment="1">
      <alignment horizontal="center" vertical="center"/>
    </xf>
    <xf numFmtId="164" fontId="20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3" xfId="0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1" fillId="0" borderId="0" xfId="1" applyNumberFormat="1" applyFont="1" applyAlignment="1">
      <alignment vertical="center"/>
    </xf>
    <xf numFmtId="164" fontId="21" fillId="0" borderId="0" xfId="4" applyNumberFormat="1" applyFont="1" applyAlignment="1">
      <alignment horizontal="center" vertical="center"/>
    </xf>
    <xf numFmtId="164" fontId="21" fillId="0" borderId="0" xfId="22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center" vertical="center" wrapText="1"/>
    </xf>
    <xf numFmtId="164" fontId="28" fillId="0" borderId="2" xfId="1" applyNumberFormat="1" applyFont="1" applyBorder="1" applyAlignment="1">
      <alignment horizontal="left" vertical="center"/>
    </xf>
    <xf numFmtId="164" fontId="28" fillId="0" borderId="3" xfId="1" applyNumberFormat="1" applyFont="1" applyBorder="1" applyAlignment="1">
      <alignment horizontal="left" vertical="center"/>
    </xf>
    <xf numFmtId="164" fontId="28" fillId="0" borderId="5" xfId="1" applyNumberFormat="1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28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0" fontId="28" fillId="0" borderId="2" xfId="0" quotePrefix="1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8" fillId="0" borderId="3" xfId="0" quotePrefix="1" applyFont="1" applyBorder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2" xfId="0" applyFont="1" applyBorder="1" applyAlignment="1">
      <alignment horizontal="left" vertical="center" wrapText="1"/>
    </xf>
    <xf numFmtId="164" fontId="22" fillId="0" borderId="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0" fontId="22" fillId="0" borderId="0" xfId="22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164" fontId="29" fillId="0" borderId="0" xfId="1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43" fontId="23" fillId="0" borderId="3" xfId="1" applyFont="1" applyBorder="1" applyAlignment="1">
      <alignment vertical="center"/>
    </xf>
    <xf numFmtId="14" fontId="23" fillId="0" borderId="4" xfId="22" applyNumberFormat="1" applyFont="1" applyBorder="1" applyAlignment="1">
      <alignment horizontal="center" vertical="center"/>
    </xf>
    <xf numFmtId="0" fontId="23" fillId="0" borderId="4" xfId="22" applyFont="1" applyBorder="1" applyAlignment="1">
      <alignment horizontal="center" vertical="center"/>
    </xf>
    <xf numFmtId="164" fontId="23" fillId="0" borderId="4" xfId="1" applyNumberFormat="1" applyFont="1" applyBorder="1" applyAlignment="1">
      <alignment horizontal="center" vertical="center"/>
    </xf>
    <xf numFmtId="164" fontId="23" fillId="0" borderId="4" xfId="4" applyNumberFormat="1" applyFont="1" applyBorder="1" applyAlignment="1">
      <alignment horizontal="center" vertical="center"/>
    </xf>
    <xf numFmtId="164" fontId="22" fillId="0" borderId="0" xfId="1" applyNumberFormat="1" applyFont="1" applyBorder="1" applyAlignment="1">
      <alignment vertical="center"/>
    </xf>
    <xf numFmtId="0" fontId="21" fillId="0" borderId="0" xfId="22" applyFont="1" applyBorder="1" applyAlignment="1">
      <alignment vertical="center" wrapText="1"/>
    </xf>
    <xf numFmtId="164" fontId="21" fillId="0" borderId="0" xfId="1" applyNumberFormat="1" applyFont="1" applyBorder="1" applyAlignment="1">
      <alignment horizontal="center" vertical="center" wrapText="1"/>
    </xf>
    <xf numFmtId="164" fontId="21" fillId="0" borderId="0" xfId="4" applyNumberFormat="1" applyFont="1" applyBorder="1" applyAlignment="1">
      <alignment vertical="center" wrapText="1"/>
    </xf>
    <xf numFmtId="164" fontId="21" fillId="0" borderId="0" xfId="4" applyNumberFormat="1" applyFont="1" applyBorder="1" applyAlignment="1">
      <alignment horizontal="center" vertical="center" wrapText="1"/>
    </xf>
    <xf numFmtId="0" fontId="23" fillId="0" borderId="0" xfId="22" applyFont="1" applyBorder="1" applyAlignment="1">
      <alignment horizontal="center" vertical="center"/>
    </xf>
    <xf numFmtId="0" fontId="23" fillId="0" borderId="0" xfId="22" applyFont="1" applyBorder="1" applyAlignment="1">
      <alignment vertical="center"/>
    </xf>
    <xf numFmtId="164" fontId="23" fillId="0" borderId="0" xfId="1" applyNumberFormat="1" applyFont="1" applyBorder="1" applyAlignment="1">
      <alignment vertical="center"/>
    </xf>
    <xf numFmtId="164" fontId="23" fillId="0" borderId="0" xfId="4" applyNumberFormat="1" applyFont="1" applyBorder="1" applyAlignment="1">
      <alignment vertical="center"/>
    </xf>
    <xf numFmtId="164" fontId="23" fillId="0" borderId="0" xfId="4" applyNumberFormat="1" applyFont="1" applyBorder="1" applyAlignment="1">
      <alignment horizontal="center" vertical="center"/>
    </xf>
    <xf numFmtId="0" fontId="20" fillId="0" borderId="0" xfId="22" applyFont="1" applyBorder="1" applyAlignment="1">
      <alignment vertical="center"/>
    </xf>
    <xf numFmtId="164" fontId="20" fillId="0" borderId="0" xfId="1" applyNumberFormat="1" applyFont="1" applyBorder="1" applyAlignment="1">
      <alignment vertical="center"/>
    </xf>
    <xf numFmtId="164" fontId="20" fillId="0" borderId="0" xfId="4" applyNumberFormat="1" applyFont="1" applyBorder="1" applyAlignment="1">
      <alignment vertical="center"/>
    </xf>
    <xf numFmtId="164" fontId="20" fillId="0" borderId="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164" fontId="23" fillId="0" borderId="5" xfId="1" applyNumberFormat="1" applyFont="1" applyBorder="1" applyAlignment="1">
      <alignment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43" fontId="28" fillId="0" borderId="3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0" fontId="28" fillId="0" borderId="3" xfId="22" applyFont="1" applyBorder="1" applyAlignment="1">
      <alignment vertical="center"/>
    </xf>
    <xf numFmtId="164" fontId="28" fillId="0" borderId="15" xfId="4" applyNumberFormat="1" applyFont="1" applyBorder="1" applyAlignment="1">
      <alignment horizontal="center" vertical="center"/>
    </xf>
    <xf numFmtId="164" fontId="28" fillId="0" borderId="3" xfId="4" applyNumberFormat="1" applyFont="1" applyBorder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164" fontId="28" fillId="0" borderId="5" xfId="4" applyNumberFormat="1" applyFont="1" applyBorder="1" applyAlignment="1">
      <alignment vertical="center"/>
    </xf>
    <xf numFmtId="164" fontId="27" fillId="0" borderId="0" xfId="0" applyNumberFormat="1" applyFont="1" applyAlignment="1">
      <alignment vertical="center"/>
    </xf>
    <xf numFmtId="164" fontId="28" fillId="0" borderId="24" xfId="4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vertical="center"/>
    </xf>
    <xf numFmtId="43" fontId="5" fillId="0" borderId="1" xfId="1" applyFont="1" applyBorder="1" applyAlignment="1">
      <alignment vertical="center"/>
    </xf>
    <xf numFmtId="164" fontId="28" fillId="0" borderId="5" xfId="1" applyNumberFormat="1" applyFont="1" applyBorder="1" applyAlignment="1">
      <alignment vertical="center"/>
    </xf>
    <xf numFmtId="0" fontId="28" fillId="0" borderId="2" xfId="22" applyFont="1" applyBorder="1" applyAlignment="1">
      <alignment vertical="center"/>
    </xf>
    <xf numFmtId="164" fontId="20" fillId="0" borderId="0" xfId="1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8" fillId="0" borderId="3" xfId="1" applyNumberFormat="1" applyFont="1" applyBorder="1" applyAlignment="1">
      <alignment horizontal="center" vertical="center"/>
    </xf>
    <xf numFmtId="0" fontId="23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4" fillId="0" borderId="0" xfId="0" applyFont="1"/>
    <xf numFmtId="0" fontId="35" fillId="0" borderId="0" xfId="0" applyFont="1" applyAlignment="1">
      <alignment vertical="center"/>
    </xf>
    <xf numFmtId="164" fontId="23" fillId="0" borderId="0" xfId="1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164" fontId="23" fillId="0" borderId="0" xfId="0" applyNumberFormat="1" applyFont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5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4" fontId="28" fillId="0" borderId="0" xfId="1" applyNumberFormat="1" applyFont="1" applyAlignment="1">
      <alignment vertical="center"/>
    </xf>
    <xf numFmtId="164" fontId="28" fillId="0" borderId="0" xfId="0" applyNumberFormat="1" applyFont="1" applyAlignment="1">
      <alignment vertical="center"/>
    </xf>
    <xf numFmtId="14" fontId="28" fillId="0" borderId="3" xfId="0" applyNumberFormat="1" applyFont="1" applyBorder="1" applyAlignment="1">
      <alignment vertical="center"/>
    </xf>
    <xf numFmtId="43" fontId="28" fillId="0" borderId="3" xfId="1" applyFont="1" applyBorder="1" applyAlignment="1">
      <alignment vertical="center"/>
    </xf>
    <xf numFmtId="164" fontId="28" fillId="0" borderId="3" xfId="1" applyNumberFormat="1" applyFont="1" applyBorder="1" applyAlignment="1">
      <alignment vertical="center"/>
    </xf>
    <xf numFmtId="14" fontId="28" fillId="0" borderId="13" xfId="0" applyNumberFormat="1" applyFont="1" applyBorder="1" applyAlignment="1">
      <alignment horizontal="center" vertical="center"/>
    </xf>
    <xf numFmtId="43" fontId="28" fillId="0" borderId="13" xfId="1" applyFont="1" applyBorder="1" applyAlignment="1">
      <alignment horizontal="center" vertical="center"/>
    </xf>
    <xf numFmtId="0" fontId="36" fillId="0" borderId="25" xfId="0" applyFont="1" applyBorder="1" applyAlignment="1">
      <alignment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0" fontId="28" fillId="0" borderId="5" xfId="22" applyFont="1" applyBorder="1" applyAlignment="1">
      <alignment vertical="center"/>
    </xf>
    <xf numFmtId="0" fontId="27" fillId="0" borderId="1" xfId="22" applyFont="1" applyBorder="1" applyAlignment="1">
      <alignment horizontal="center" vertical="center" wrapText="1"/>
    </xf>
    <xf numFmtId="172" fontId="27" fillId="0" borderId="1" xfId="4" applyNumberFormat="1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164" fontId="27" fillId="0" borderId="6" xfId="4" applyNumberFormat="1" applyFont="1" applyBorder="1" applyAlignment="1">
      <alignment horizontal="center" vertical="center" wrapText="1"/>
    </xf>
    <xf numFmtId="0" fontId="28" fillId="0" borderId="0" xfId="22" applyFont="1" applyAlignment="1">
      <alignment horizontal="center" vertical="center"/>
    </xf>
    <xf numFmtId="0" fontId="28" fillId="0" borderId="0" xfId="22" applyFont="1" applyAlignment="1">
      <alignment vertical="center"/>
    </xf>
    <xf numFmtId="164" fontId="28" fillId="0" borderId="21" xfId="4" applyNumberFormat="1" applyFont="1" applyBorder="1" applyAlignment="1">
      <alignment horizontal="center" vertical="center"/>
    </xf>
    <xf numFmtId="172" fontId="28" fillId="0" borderId="3" xfId="4" applyNumberFormat="1" applyFont="1" applyBorder="1" applyAlignment="1">
      <alignment vertical="center"/>
    </xf>
    <xf numFmtId="172" fontId="28" fillId="0" borderId="5" xfId="4" applyNumberFormat="1" applyFont="1" applyBorder="1" applyAlignment="1">
      <alignment vertical="center"/>
    </xf>
    <xf numFmtId="164" fontId="28" fillId="0" borderId="18" xfId="4" applyNumberFormat="1" applyFont="1" applyBorder="1" applyAlignment="1">
      <alignment horizontal="center" vertical="center"/>
    </xf>
    <xf numFmtId="172" fontId="28" fillId="0" borderId="0" xfId="4" applyNumberFormat="1" applyFont="1" applyAlignment="1">
      <alignment vertical="center"/>
    </xf>
    <xf numFmtId="164" fontId="28" fillId="0" borderId="0" xfId="4" applyNumberFormat="1" applyFont="1" applyAlignment="1">
      <alignment vertical="center"/>
    </xf>
    <xf numFmtId="164" fontId="28" fillId="0" borderId="0" xfId="22" applyNumberFormat="1" applyFont="1" applyAlignment="1">
      <alignment horizontal="center" vertical="center"/>
    </xf>
    <xf numFmtId="16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4" applyNumberFormat="1" applyFont="1" applyBorder="1" applyAlignment="1">
      <alignment horizontal="center" vertical="center" wrapText="1"/>
    </xf>
    <xf numFmtId="164" fontId="28" fillId="0" borderId="0" xfId="4" applyNumberFormat="1" applyFont="1" applyBorder="1" applyAlignment="1">
      <alignment vertical="center"/>
    </xf>
    <xf numFmtId="0" fontId="27" fillId="0" borderId="0" xfId="22" applyFont="1" applyAlignment="1">
      <alignment horizontal="left" vertical="center"/>
    </xf>
    <xf numFmtId="0" fontId="27" fillId="0" borderId="0" xfId="25" applyFont="1" applyAlignment="1">
      <alignment vertical="center"/>
    </xf>
    <xf numFmtId="0" fontId="27" fillId="0" borderId="0" xfId="25" applyFont="1" applyAlignment="1">
      <alignment horizontal="center" vertical="center"/>
    </xf>
    <xf numFmtId="14" fontId="28" fillId="0" borderId="3" xfId="22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14" fontId="28" fillId="0" borderId="13" xfId="22" applyNumberFormat="1" applyFont="1" applyBorder="1" applyAlignment="1">
      <alignment horizontal="center" vertical="center"/>
    </xf>
    <xf numFmtId="0" fontId="28" fillId="0" borderId="13" xfId="22" applyFont="1" applyBorder="1" applyAlignment="1">
      <alignment horizontal="center" vertical="center"/>
    </xf>
    <xf numFmtId="164" fontId="28" fillId="0" borderId="13" xfId="4" applyNumberFormat="1" applyFont="1" applyBorder="1" applyAlignment="1">
      <alignment horizontal="center" vertical="center"/>
    </xf>
    <xf numFmtId="164" fontId="28" fillId="0" borderId="13" xfId="1" applyNumberFormat="1" applyFont="1" applyBorder="1" applyAlignment="1">
      <alignment horizontal="center" vertical="center"/>
    </xf>
    <xf numFmtId="0" fontId="5" fillId="0" borderId="1" xfId="22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left" vertical="center"/>
    </xf>
    <xf numFmtId="164" fontId="28" fillId="0" borderId="13" xfId="1" applyNumberFormat="1" applyFont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8" fillId="0" borderId="5" xfId="0" quotePrefix="1" applyFont="1" applyBorder="1" applyAlignment="1">
      <alignment horizontal="left" vertical="center"/>
    </xf>
    <xf numFmtId="174" fontId="28" fillId="0" borderId="0" xfId="1" applyNumberFormat="1" applyFont="1" applyAlignment="1">
      <alignment vertical="center"/>
    </xf>
    <xf numFmtId="175" fontId="28" fillId="0" borderId="0" xfId="1" applyNumberFormat="1" applyFont="1" applyAlignment="1">
      <alignment vertical="center"/>
    </xf>
    <xf numFmtId="0" fontId="5" fillId="0" borderId="1" xfId="22" applyFont="1" applyBorder="1" applyAlignment="1">
      <alignment vertical="center"/>
    </xf>
    <xf numFmtId="172" fontId="5" fillId="0" borderId="1" xfId="4" applyNumberFormat="1" applyFont="1" applyBorder="1" applyAlignment="1">
      <alignment vertical="center"/>
    </xf>
    <xf numFmtId="164" fontId="5" fillId="0" borderId="1" xfId="4" applyNumberFormat="1" applyFont="1" applyBorder="1" applyAlignment="1">
      <alignment vertical="center"/>
    </xf>
    <xf numFmtId="164" fontId="5" fillId="0" borderId="6" xfId="4" applyNumberFormat="1" applyFont="1" applyBorder="1" applyAlignment="1">
      <alignment horizontal="center" vertical="center"/>
    </xf>
    <xf numFmtId="164" fontId="5" fillId="0" borderId="0" xfId="4" applyNumberFormat="1" applyFont="1" applyBorder="1" applyAlignment="1">
      <alignment vertical="center"/>
    </xf>
    <xf numFmtId="0" fontId="4" fillId="0" borderId="0" xfId="22" applyFont="1" applyAlignment="1">
      <alignment horizontal="center" vertical="center"/>
    </xf>
    <xf numFmtId="0" fontId="4" fillId="0" borderId="0" xfId="22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4" fontId="28" fillId="0" borderId="0" xfId="22" applyNumberFormat="1" applyFont="1" applyBorder="1" applyAlignment="1">
      <alignment horizontal="center" vertical="center"/>
    </xf>
    <xf numFmtId="0" fontId="28" fillId="0" borderId="0" xfId="22" applyFont="1" applyBorder="1" applyAlignment="1">
      <alignment horizontal="center" vertical="center"/>
    </xf>
    <xf numFmtId="164" fontId="28" fillId="0" borderId="0" xfId="1" applyNumberFormat="1" applyFont="1" applyBorder="1" applyAlignment="1">
      <alignment horizontal="center" vertical="center"/>
    </xf>
    <xf numFmtId="164" fontId="28" fillId="0" borderId="0" xfId="4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22" applyFont="1" applyBorder="1" applyAlignment="1">
      <alignment horizontal="center" vertical="center"/>
    </xf>
    <xf numFmtId="164" fontId="4" fillId="0" borderId="1" xfId="4" applyNumberFormat="1" applyFont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43" fontId="28" fillId="0" borderId="3" xfId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vertical="center"/>
    </xf>
    <xf numFmtId="164" fontId="28" fillId="0" borderId="15" xfId="4" applyNumberFormat="1" applyFont="1" applyFill="1" applyBorder="1" applyAlignment="1">
      <alignment horizontal="center" vertical="center"/>
    </xf>
    <xf numFmtId="164" fontId="28" fillId="0" borderId="3" xfId="4" applyNumberFormat="1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14" fontId="37" fillId="0" borderId="3" xfId="0" applyNumberFormat="1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164" fontId="37" fillId="0" borderId="2" xfId="1" applyNumberFormat="1" applyFont="1" applyBorder="1" applyAlignment="1">
      <alignment horizontal="center" vertical="center"/>
    </xf>
    <xf numFmtId="43" fontId="37" fillId="0" borderId="2" xfId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37" fillId="0" borderId="2" xfId="0" applyNumberFormat="1" applyFont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14" fontId="28" fillId="3" borderId="3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164" fontId="28" fillId="3" borderId="2" xfId="1" applyNumberFormat="1" applyFont="1" applyFill="1" applyBorder="1" applyAlignment="1">
      <alignment horizontal="center" vertical="center"/>
    </xf>
    <xf numFmtId="43" fontId="28" fillId="3" borderId="3" xfId="1" applyFont="1" applyFill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64" fontId="28" fillId="3" borderId="15" xfId="4" applyNumberFormat="1" applyFont="1" applyFill="1" applyBorder="1" applyAlignment="1">
      <alignment horizontal="center" vertical="center"/>
    </xf>
    <xf numFmtId="164" fontId="28" fillId="3" borderId="3" xfId="4" applyNumberFormat="1" applyFont="1" applyFill="1" applyBorder="1" applyAlignment="1">
      <alignment vertical="center"/>
    </xf>
    <xf numFmtId="0" fontId="28" fillId="3" borderId="0" xfId="0" applyFont="1" applyFill="1" applyAlignment="1">
      <alignment horizontal="center" vertical="center"/>
    </xf>
    <xf numFmtId="164" fontId="28" fillId="3" borderId="24" xfId="4" applyNumberFormat="1" applyFont="1" applyFill="1" applyBorder="1" applyAlignment="1">
      <alignment horizontal="center" vertical="center"/>
    </xf>
    <xf numFmtId="164" fontId="28" fillId="3" borderId="5" xfId="4" applyNumberFormat="1" applyFont="1" applyFill="1" applyBorder="1" applyAlignment="1">
      <alignment vertical="center"/>
    </xf>
    <xf numFmtId="164" fontId="28" fillId="3" borderId="3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64" fontId="28" fillId="3" borderId="3" xfId="1" applyNumberFormat="1" applyFont="1" applyFill="1" applyBorder="1" applyAlignment="1">
      <alignment horizontal="left" vertical="center"/>
    </xf>
    <xf numFmtId="0" fontId="32" fillId="3" borderId="3" xfId="0" applyFont="1" applyFill="1" applyBorder="1" applyAlignment="1">
      <alignment horizontal="left" vertical="center"/>
    </xf>
    <xf numFmtId="0" fontId="28" fillId="3" borderId="3" xfId="22" applyFont="1" applyFill="1" applyBorder="1" applyAlignment="1">
      <alignment horizontal="left" vertical="center"/>
    </xf>
    <xf numFmtId="164" fontId="28" fillId="3" borderId="2" xfId="0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43" fontId="5" fillId="0" borderId="0" xfId="1" applyNumberFormat="1" applyFont="1" applyAlignment="1">
      <alignment vertical="center"/>
    </xf>
    <xf numFmtId="164" fontId="37" fillId="3" borderId="3" xfId="1" applyNumberFormat="1" applyFont="1" applyFill="1" applyBorder="1" applyAlignment="1">
      <alignment horizontal="left" vertical="center"/>
    </xf>
    <xf numFmtId="164" fontId="37" fillId="3" borderId="3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12" xfId="4" applyNumberFormat="1" applyFont="1" applyBorder="1" applyAlignment="1">
      <alignment horizontal="center" vertical="center"/>
    </xf>
    <xf numFmtId="164" fontId="28" fillId="0" borderId="3" xfId="4" applyNumberFormat="1" applyFont="1" applyBorder="1" applyAlignment="1">
      <alignment horizontal="center" vertical="center"/>
    </xf>
    <xf numFmtId="164" fontId="28" fillId="0" borderId="5" xfId="4" applyNumberFormat="1" applyFont="1" applyBorder="1" applyAlignment="1">
      <alignment horizontal="center" vertical="center"/>
    </xf>
    <xf numFmtId="164" fontId="28" fillId="0" borderId="24" xfId="1" applyNumberFormat="1" applyFont="1" applyBorder="1" applyAlignment="1">
      <alignment horizontal="center" vertical="center"/>
    </xf>
    <xf numFmtId="164" fontId="28" fillId="0" borderId="28" xfId="1" applyNumberFormat="1" applyFont="1" applyBorder="1" applyAlignment="1">
      <alignment horizontal="center" vertical="center"/>
    </xf>
    <xf numFmtId="14" fontId="28" fillId="4" borderId="3" xfId="0" applyNumberFormat="1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 wrapText="1"/>
    </xf>
    <xf numFmtId="164" fontId="28" fillId="4" borderId="2" xfId="1" applyNumberFormat="1" applyFont="1" applyFill="1" applyBorder="1" applyAlignment="1">
      <alignment horizontal="center" vertical="center"/>
    </xf>
    <xf numFmtId="43" fontId="28" fillId="4" borderId="3" xfId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0" fontId="28" fillId="0" borderId="3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43" fontId="28" fillId="0" borderId="2" xfId="1" applyFont="1" applyBorder="1" applyAlignment="1">
      <alignment vertical="center"/>
    </xf>
    <xf numFmtId="164" fontId="28" fillId="0" borderId="2" xfId="4" applyNumberFormat="1" applyFont="1" applyBorder="1" applyAlignment="1">
      <alignment vertical="center"/>
    </xf>
    <xf numFmtId="164" fontId="28" fillId="0" borderId="29" xfId="4" applyNumberFormat="1" applyFont="1" applyBorder="1" applyAlignment="1">
      <alignment horizontal="center" vertical="center"/>
    </xf>
    <xf numFmtId="14" fontId="28" fillId="0" borderId="2" xfId="22" applyNumberFormat="1" applyFont="1" applyBorder="1" applyAlignment="1">
      <alignment horizontal="center" vertical="center"/>
    </xf>
    <xf numFmtId="164" fontId="27" fillId="0" borderId="0" xfId="22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1" xfId="4" applyNumberFormat="1" applyFont="1" applyBorder="1" applyAlignment="1">
      <alignment horizontal="center" vertical="center" wrapText="1"/>
    </xf>
    <xf numFmtId="0" fontId="27" fillId="0" borderId="1" xfId="22" applyFont="1" applyBorder="1" applyAlignment="1">
      <alignment horizontal="center" vertical="center" wrapText="1"/>
    </xf>
    <xf numFmtId="0" fontId="31" fillId="0" borderId="0" xfId="0" applyFont="1" applyAlignment="1">
      <alignment wrapText="1"/>
    </xf>
    <xf numFmtId="0" fontId="31" fillId="0" borderId="3" xfId="0" applyFont="1" applyBorder="1" applyAlignment="1">
      <alignment wrapText="1"/>
    </xf>
    <xf numFmtId="0" fontId="31" fillId="0" borderId="5" xfId="0" applyFont="1" applyBorder="1" applyAlignment="1">
      <alignment wrapText="1"/>
    </xf>
    <xf numFmtId="0" fontId="31" fillId="0" borderId="4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28" fillId="0" borderId="0" xfId="0" applyFont="1"/>
    <xf numFmtId="0" fontId="28" fillId="4" borderId="2" xfId="0" applyFont="1" applyFill="1" applyBorder="1" applyAlignment="1">
      <alignment horizontal="left" vertical="center"/>
    </xf>
    <xf numFmtId="164" fontId="37" fillId="0" borderId="3" xfId="4" applyNumberFormat="1" applyFont="1" applyBorder="1" applyAlignment="1">
      <alignment vertical="center"/>
    </xf>
    <xf numFmtId="0" fontId="37" fillId="0" borderId="3" xfId="0" applyFont="1" applyBorder="1" applyAlignment="1">
      <alignment vertical="center"/>
    </xf>
    <xf numFmtId="164" fontId="37" fillId="0" borderId="15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0" fontId="27" fillId="0" borderId="0" xfId="22" applyFont="1" applyAlignment="1">
      <alignment vertical="center"/>
    </xf>
    <xf numFmtId="172" fontId="27" fillId="0" borderId="0" xfId="4" applyNumberFormat="1" applyFont="1" applyAlignment="1">
      <alignment vertical="center"/>
    </xf>
    <xf numFmtId="164" fontId="27" fillId="0" borderId="0" xfId="4" applyNumberFormat="1" applyFont="1" applyAlignment="1">
      <alignment vertical="center"/>
    </xf>
    <xf numFmtId="164" fontId="27" fillId="0" borderId="0" xfId="1" applyNumberFormat="1" applyFont="1" applyAlignment="1">
      <alignment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72" fontId="5" fillId="0" borderId="1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vertical="center"/>
    </xf>
    <xf numFmtId="0" fontId="28" fillId="0" borderId="25" xfId="22" applyFont="1" applyBorder="1" applyAlignment="1">
      <alignment vertical="center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27" fillId="0" borderId="0" xfId="22" applyNumberFormat="1" applyFont="1" applyAlignment="1">
      <alignment vertical="center"/>
    </xf>
    <xf numFmtId="164" fontId="28" fillId="0" borderId="0" xfId="22" applyNumberFormat="1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7" fillId="0" borderId="0" xfId="1" applyFont="1" applyAlignment="1">
      <alignment horizontal="left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0" fontId="27" fillId="0" borderId="0" xfId="22" applyFont="1" applyAlignment="1">
      <alignment horizontal="center" vertical="center"/>
    </xf>
    <xf numFmtId="0" fontId="27" fillId="0" borderId="0" xfId="22" applyFont="1" applyBorder="1" applyAlignment="1">
      <alignment vertical="center"/>
    </xf>
    <xf numFmtId="0" fontId="27" fillId="0" borderId="0" xfId="0" applyFont="1"/>
    <xf numFmtId="164" fontId="28" fillId="0" borderId="5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1" fontId="28" fillId="0" borderId="2" xfId="22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164" fontId="28" fillId="0" borderId="12" xfId="1" applyNumberFormat="1" applyFont="1" applyBorder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28" fillId="0" borderId="12" xfId="0" applyFont="1" applyBorder="1" applyAlignment="1">
      <alignment horizontal="left" vertical="center"/>
    </xf>
    <xf numFmtId="164" fontId="27" fillId="0" borderId="1" xfId="1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49" fontId="23" fillId="0" borderId="3" xfId="39" applyNumberFormat="1" applyFont="1" applyFill="1" applyBorder="1" applyAlignment="1">
      <alignment horizontal="left" vertical="center"/>
    </xf>
    <xf numFmtId="49" fontId="23" fillId="0" borderId="5" xfId="39" applyNumberFormat="1" applyFont="1" applyFill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164" fontId="28" fillId="4" borderId="3" xfId="1" applyNumberFormat="1" applyFont="1" applyFill="1" applyBorder="1" applyAlignment="1">
      <alignment vertical="center"/>
    </xf>
    <xf numFmtId="14" fontId="28" fillId="4" borderId="3" xfId="0" applyNumberFormat="1" applyFont="1" applyFill="1" applyBorder="1" applyAlignment="1">
      <alignment vertical="center"/>
    </xf>
    <xf numFmtId="43" fontId="28" fillId="4" borderId="3" xfId="1" applyFont="1" applyFill="1" applyBorder="1" applyAlignment="1">
      <alignment vertical="center"/>
    </xf>
    <xf numFmtId="164" fontId="28" fillId="4" borderId="3" xfId="1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wrapText="1"/>
    </xf>
    <xf numFmtId="164" fontId="28" fillId="0" borderId="3" xfId="1" applyNumberFormat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wrapText="1"/>
    </xf>
    <xf numFmtId="0" fontId="28" fillId="0" borderId="4" xfId="0" applyFont="1" applyFill="1" applyBorder="1" applyAlignment="1">
      <alignment wrapText="1"/>
    </xf>
    <xf numFmtId="0" fontId="28" fillId="0" borderId="4" xfId="0" applyFont="1" applyFill="1" applyBorder="1" applyAlignment="1">
      <alignment horizontal="center" vertical="center"/>
    </xf>
    <xf numFmtId="0" fontId="28" fillId="0" borderId="3" xfId="22" applyFont="1" applyFill="1" applyBorder="1" applyAlignment="1">
      <alignment vertical="center"/>
    </xf>
    <xf numFmtId="0" fontId="28" fillId="0" borderId="5" xfId="0" applyFont="1" applyFill="1" applyBorder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horizontal="center" vertical="center"/>
    </xf>
    <xf numFmtId="0" fontId="4" fillId="0" borderId="0" xfId="22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164" fontId="4" fillId="0" borderId="0" xfId="4" applyNumberFormat="1" applyFont="1" applyBorder="1" applyAlignment="1">
      <alignment horizontal="center" vertical="center"/>
    </xf>
    <xf numFmtId="164" fontId="27" fillId="0" borderId="0" xfId="22" applyNumberFormat="1" applyFont="1" applyBorder="1" applyAlignment="1">
      <alignment vertical="center"/>
    </xf>
    <xf numFmtId="0" fontId="5" fillId="0" borderId="0" xfId="22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5" fillId="0" borderId="0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3" xfId="22" applyFont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0" xfId="0" applyNumberFormat="1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4" borderId="3" xfId="22" applyFont="1" applyFill="1" applyBorder="1" applyAlignment="1">
      <alignment vertical="center"/>
    </xf>
    <xf numFmtId="164" fontId="28" fillId="4" borderId="15" xfId="4" applyNumberFormat="1" applyFont="1" applyFill="1" applyBorder="1" applyAlignment="1">
      <alignment horizontal="center" vertical="center"/>
    </xf>
    <xf numFmtId="164" fontId="28" fillId="4" borderId="3" xfId="4" applyNumberFormat="1" applyFont="1" applyFill="1" applyBorder="1" applyAlignment="1">
      <alignment vertical="center"/>
    </xf>
    <xf numFmtId="164" fontId="28" fillId="0" borderId="4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5" fillId="0" borderId="0" xfId="1" applyNumberFormat="1" applyFont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0" fontId="40" fillId="0" borderId="0" xfId="0" applyFont="1"/>
    <xf numFmtId="0" fontId="41" fillId="0" borderId="0" xfId="22" applyFont="1" applyAlignment="1">
      <alignment vertical="center"/>
    </xf>
    <xf numFmtId="164" fontId="40" fillId="0" borderId="0" xfId="1" applyNumberFormat="1" applyFont="1"/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0" fontId="41" fillId="0" borderId="0" xfId="22" applyFont="1" applyBorder="1" applyAlignment="1">
      <alignment vertical="center"/>
    </xf>
    <xf numFmtId="164" fontId="5" fillId="0" borderId="0" xfId="1" applyNumberFormat="1" applyFont="1"/>
    <xf numFmtId="14" fontId="27" fillId="0" borderId="0" xfId="22" applyNumberFormat="1" applyFont="1" applyBorder="1" applyAlignment="1">
      <alignment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 wrapText="1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3" xfId="1" applyNumberFormat="1" applyFont="1" applyFill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0" fontId="28" fillId="0" borderId="2" xfId="22" applyFont="1" applyBorder="1" applyAlignment="1">
      <alignment horizontal="center" vertical="center" wrapText="1"/>
    </xf>
    <xf numFmtId="0" fontId="28" fillId="4" borderId="3" xfId="22" applyFont="1" applyFill="1" applyBorder="1" applyAlignment="1">
      <alignment horizontal="center" vertical="center"/>
    </xf>
    <xf numFmtId="14" fontId="28" fillId="4" borderId="3" xfId="22" applyNumberFormat="1" applyFont="1" applyFill="1" applyBorder="1" applyAlignment="1">
      <alignment horizontal="center" vertical="center"/>
    </xf>
    <xf numFmtId="14" fontId="28" fillId="4" borderId="2" xfId="22" applyNumberFormat="1" applyFont="1" applyFill="1" applyBorder="1" applyAlignment="1">
      <alignment horizontal="center" vertical="center"/>
    </xf>
    <xf numFmtId="0" fontId="28" fillId="4" borderId="2" xfId="22" applyFont="1" applyFill="1" applyBorder="1" applyAlignment="1">
      <alignment horizontal="center" vertical="center" wrapText="1"/>
    </xf>
    <xf numFmtId="0" fontId="28" fillId="4" borderId="2" xfId="22" applyFont="1" applyFill="1" applyBorder="1" applyAlignment="1">
      <alignment horizontal="center" vertical="center"/>
    </xf>
    <xf numFmtId="164" fontId="28" fillId="4" borderId="2" xfId="4" applyNumberFormat="1" applyFont="1" applyFill="1" applyBorder="1" applyAlignment="1">
      <alignment horizontal="center" vertical="center"/>
    </xf>
    <xf numFmtId="14" fontId="28" fillId="0" borderId="5" xfId="22" applyNumberFormat="1" applyFont="1" applyBorder="1" applyAlignment="1">
      <alignment horizontal="center" vertical="center"/>
    </xf>
    <xf numFmtId="0" fontId="27" fillId="0" borderId="1" xfId="22" applyFont="1" applyBorder="1" applyAlignment="1">
      <alignment vertical="center"/>
    </xf>
    <xf numFmtId="0" fontId="27" fillId="0" borderId="1" xfId="22" applyFont="1" applyBorder="1" applyAlignment="1">
      <alignment horizontal="center" vertical="center"/>
    </xf>
    <xf numFmtId="164" fontId="27" fillId="0" borderId="1" xfId="22" applyNumberFormat="1" applyFont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43" fontId="5" fillId="0" borderId="0" xfId="0" applyNumberFormat="1" applyFont="1"/>
    <xf numFmtId="0" fontId="28" fillId="0" borderId="2" xfId="0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43" fontId="4" fillId="0" borderId="0" xfId="1" applyFont="1"/>
    <xf numFmtId="0" fontId="32" fillId="0" borderId="3" xfId="0" applyFont="1" applyBorder="1" applyAlignment="1">
      <alignment horizontal="center" vertical="center"/>
    </xf>
    <xf numFmtId="172" fontId="28" fillId="0" borderId="2" xfId="1" applyNumberFormat="1" applyFont="1" applyBorder="1" applyAlignment="1">
      <alignment vertical="center"/>
    </xf>
    <xf numFmtId="172" fontId="28" fillId="0" borderId="3" xfId="1" applyNumberFormat="1" applyFont="1" applyBorder="1" applyAlignment="1">
      <alignment vertical="center"/>
    </xf>
    <xf numFmtId="0" fontId="28" fillId="0" borderId="1" xfId="22" applyFont="1" applyBorder="1" applyAlignment="1">
      <alignment vertical="center"/>
    </xf>
    <xf numFmtId="0" fontId="28" fillId="0" borderId="12" xfId="22" applyFont="1" applyBorder="1" applyAlignment="1">
      <alignment vertical="center"/>
    </xf>
    <xf numFmtId="0" fontId="28" fillId="0" borderId="13" xfId="22" applyFont="1" applyBorder="1" applyAlignment="1">
      <alignment vertical="center"/>
    </xf>
    <xf numFmtId="164" fontId="28" fillId="0" borderId="12" xfId="1" applyNumberFormat="1" applyFont="1" applyBorder="1" applyAlignment="1">
      <alignment vertical="center"/>
    </xf>
    <xf numFmtId="164" fontId="28" fillId="0" borderId="13" xfId="1" applyNumberFormat="1" applyFont="1" applyBorder="1" applyAlignment="1">
      <alignment vertical="center"/>
    </xf>
    <xf numFmtId="172" fontId="4" fillId="0" borderId="1" xfId="1" applyNumberFormat="1" applyFont="1" applyBorder="1" applyAlignment="1">
      <alignment horizontal="center" vertical="center"/>
    </xf>
    <xf numFmtId="0" fontId="28" fillId="0" borderId="12" xfId="22" applyFont="1" applyBorder="1" applyAlignment="1">
      <alignment horizontal="center" vertical="center"/>
    </xf>
    <xf numFmtId="0" fontId="28" fillId="0" borderId="1" xfId="22" applyFont="1" applyBorder="1" applyAlignment="1">
      <alignment horizontal="center" vertical="center"/>
    </xf>
    <xf numFmtId="164" fontId="28" fillId="0" borderId="12" xfId="22" applyNumberFormat="1" applyFont="1" applyBorder="1" applyAlignment="1">
      <alignment vertical="center"/>
    </xf>
    <xf numFmtId="164" fontId="28" fillId="0" borderId="3" xfId="22" applyNumberFormat="1" applyFont="1" applyBorder="1" applyAlignment="1">
      <alignment vertical="center"/>
    </xf>
    <xf numFmtId="164" fontId="5" fillId="0" borderId="14" xfId="0" applyNumberFormat="1" applyFont="1" applyBorder="1"/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4" borderId="5" xfId="0" applyNumberFormat="1" applyFont="1" applyFill="1" applyBorder="1" applyAlignment="1">
      <alignment horizontal="center" vertical="center"/>
    </xf>
    <xf numFmtId="43" fontId="28" fillId="4" borderId="5" xfId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64" fontId="28" fillId="4" borderId="5" xfId="1" applyNumberFormat="1" applyFont="1" applyFill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43" fontId="28" fillId="0" borderId="5" xfId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164" fontId="5" fillId="0" borderId="0" xfId="0" applyNumberFormat="1" applyFont="1" applyBorder="1"/>
    <xf numFmtId="164" fontId="40" fillId="0" borderId="0" xfId="1" applyNumberFormat="1" applyFont="1" applyBorder="1"/>
    <xf numFmtId="0" fontId="0" fillId="0" borderId="0" xfId="0" applyBorder="1"/>
    <xf numFmtId="14" fontId="28" fillId="0" borderId="3" xfId="0" applyNumberFormat="1" applyFont="1" applyFill="1" applyBorder="1" applyAlignment="1">
      <alignment vertical="center"/>
    </xf>
    <xf numFmtId="43" fontId="28" fillId="0" borderId="3" xfId="1" applyFont="1" applyFill="1" applyBorder="1" applyAlignment="1">
      <alignment vertical="center"/>
    </xf>
    <xf numFmtId="164" fontId="28" fillId="4" borderId="2" xfId="1" applyNumberFormat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0" fontId="28" fillId="0" borderId="0" xfId="22" applyFont="1" applyBorder="1" applyAlignment="1">
      <alignment vertical="center"/>
    </xf>
    <xf numFmtId="0" fontId="5" fillId="0" borderId="0" xfId="0" applyFont="1" applyBorder="1"/>
    <xf numFmtId="164" fontId="5" fillId="0" borderId="0" xfId="1" applyNumberFormat="1" applyFont="1" applyBorder="1"/>
    <xf numFmtId="0" fontId="42" fillId="0" borderId="0" xfId="0" applyFont="1"/>
    <xf numFmtId="0" fontId="27" fillId="0" borderId="1" xfId="22" applyFont="1" applyBorder="1" applyAlignment="1">
      <alignment horizontal="center" vertical="center" wrapText="1"/>
    </xf>
    <xf numFmtId="164" fontId="5" fillId="0" borderId="0" xfId="1" applyNumberFormat="1" applyFont="1" applyBorder="1" applyAlignment="1">
      <alignment horizontal="center" vertical="center"/>
    </xf>
    <xf numFmtId="0" fontId="27" fillId="0" borderId="30" xfId="22" applyFont="1" applyBorder="1" applyAlignment="1">
      <alignment horizontal="center" vertical="center" wrapText="1"/>
    </xf>
    <xf numFmtId="0" fontId="27" fillId="0" borderId="31" xfId="22" applyFont="1" applyBorder="1" applyAlignment="1">
      <alignment horizontal="center" vertical="center" wrapText="1"/>
    </xf>
    <xf numFmtId="0" fontId="27" fillId="0" borderId="32" xfId="22" applyFont="1" applyBorder="1" applyAlignment="1">
      <alignment horizontal="center" vertical="center" wrapText="1"/>
    </xf>
    <xf numFmtId="0" fontId="27" fillId="0" borderId="33" xfId="22" applyFont="1" applyBorder="1" applyAlignment="1">
      <alignment horizontal="center" vertical="center" wrapText="1"/>
    </xf>
    <xf numFmtId="0" fontId="28" fillId="0" borderId="26" xfId="22" applyFont="1" applyBorder="1" applyAlignment="1">
      <alignment horizontal="center" vertical="center" wrapText="1"/>
    </xf>
    <xf numFmtId="0" fontId="28" fillId="0" borderId="4" xfId="22" applyFont="1" applyBorder="1" applyAlignment="1">
      <alignment horizontal="center" vertical="center" wrapText="1"/>
    </xf>
    <xf numFmtId="0" fontId="28" fillId="0" borderId="2" xfId="22" applyFont="1" applyBorder="1" applyAlignment="1">
      <alignment horizontal="center" vertical="center" wrapText="1"/>
    </xf>
    <xf numFmtId="0" fontId="28" fillId="0" borderId="5" xfId="22" applyFont="1" applyBorder="1" applyAlignment="1">
      <alignment horizontal="center" vertical="center" wrapText="1"/>
    </xf>
    <xf numFmtId="172" fontId="27" fillId="0" borderId="26" xfId="4" applyNumberFormat="1" applyFont="1" applyBorder="1" applyAlignment="1">
      <alignment horizontal="center" vertical="center" wrapText="1"/>
    </xf>
    <xf numFmtId="172" fontId="27" fillId="0" borderId="27" xfId="4" applyNumberFormat="1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0" fontId="28" fillId="0" borderId="5" xfId="22" applyFont="1" applyBorder="1" applyAlignment="1">
      <alignment horizontal="center" vertical="center"/>
    </xf>
    <xf numFmtId="0" fontId="28" fillId="0" borderId="4" xfId="22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43" fontId="28" fillId="0" borderId="5" xfId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4" borderId="5" xfId="1" applyFont="1" applyFill="1" applyBorder="1" applyAlignment="1">
      <alignment horizontal="center" vertical="center"/>
    </xf>
    <xf numFmtId="43" fontId="28" fillId="4" borderId="4" xfId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64" fontId="28" fillId="4" borderId="5" xfId="1" applyNumberFormat="1" applyFont="1" applyFill="1" applyBorder="1" applyAlignment="1">
      <alignment horizontal="center" vertical="center"/>
    </xf>
    <xf numFmtId="164" fontId="28" fillId="4" borderId="4" xfId="1" applyNumberFormat="1" applyFont="1" applyFill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43" fontId="28" fillId="0" borderId="5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5" xfId="0" applyNumberFormat="1" applyFont="1" applyFill="1" applyBorder="1" applyAlignment="1">
      <alignment horizontal="center" vertical="center"/>
    </xf>
    <xf numFmtId="14" fontId="28" fillId="0" borderId="2" xfId="0" applyNumberFormat="1" applyFont="1" applyFill="1" applyBorder="1" applyAlignment="1">
      <alignment horizontal="center" vertical="center"/>
    </xf>
    <xf numFmtId="43" fontId="28" fillId="0" borderId="4" xfId="1" applyFont="1" applyFill="1" applyBorder="1" applyAlignment="1">
      <alignment horizontal="center" vertical="center"/>
    </xf>
    <xf numFmtId="164" fontId="28" fillId="0" borderId="5" xfId="1" applyNumberFormat="1" applyFont="1" applyFill="1" applyBorder="1" applyAlignment="1">
      <alignment horizontal="center" vertical="center"/>
    </xf>
    <xf numFmtId="164" fontId="28" fillId="0" borderId="4" xfId="1" applyNumberFormat="1" applyFont="1" applyFill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14" fontId="28" fillId="4" borderId="5" xfId="0" applyNumberFormat="1" applyFont="1" applyFill="1" applyBorder="1" applyAlignment="1">
      <alignment horizontal="center" vertical="center"/>
    </xf>
    <xf numFmtId="14" fontId="28" fillId="4" borderId="4" xfId="0" applyNumberFormat="1" applyFont="1" applyFill="1" applyBorder="1" applyAlignment="1">
      <alignment horizontal="center" vertical="center"/>
    </xf>
    <xf numFmtId="14" fontId="28" fillId="4" borderId="2" xfId="0" applyNumberFormat="1" applyFont="1" applyFill="1" applyBorder="1" applyAlignment="1">
      <alignment horizontal="center" vertical="center"/>
    </xf>
    <xf numFmtId="14" fontId="28" fillId="0" borderId="4" xfId="0" applyNumberFormat="1" applyFont="1" applyFill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164" fontId="27" fillId="0" borderId="0" xfId="22" applyNumberFormat="1" applyFont="1" applyAlignment="1">
      <alignment horizontal="center" vertical="center"/>
    </xf>
    <xf numFmtId="164" fontId="27" fillId="0" borderId="25" xfId="22" applyNumberFormat="1" applyFont="1" applyBorder="1" applyAlignment="1">
      <alignment horizontal="center" vertical="center"/>
    </xf>
    <xf numFmtId="172" fontId="27" fillId="0" borderId="1" xfId="4" applyNumberFormat="1" applyFont="1" applyBorder="1" applyAlignment="1">
      <alignment horizontal="center" vertical="center" wrapText="1"/>
    </xf>
    <xf numFmtId="164" fontId="5" fillId="0" borderId="6" xfId="4" applyNumberFormat="1" applyFont="1" applyBorder="1" applyAlignment="1">
      <alignment horizontal="center" vertical="center"/>
    </xf>
    <xf numFmtId="164" fontId="5" fillId="0" borderId="8" xfId="4" applyNumberFormat="1" applyFont="1" applyBorder="1" applyAlignment="1">
      <alignment horizontal="center" vertical="center"/>
    </xf>
    <xf numFmtId="164" fontId="27" fillId="0" borderId="15" xfId="1" applyNumberFormat="1" applyFont="1" applyBorder="1" applyAlignment="1">
      <alignment horizontal="center" vertical="center"/>
    </xf>
    <xf numFmtId="164" fontId="27" fillId="0" borderId="17" xfId="1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horizontal="center" vertical="center"/>
    </xf>
    <xf numFmtId="172" fontId="27" fillId="0" borderId="6" xfId="4" applyNumberFormat="1" applyFont="1" applyBorder="1" applyAlignment="1">
      <alignment horizontal="center" vertical="center" wrapText="1"/>
    </xf>
    <xf numFmtId="172" fontId="27" fillId="0" borderId="8" xfId="4" applyNumberFormat="1" applyFont="1" applyBorder="1" applyAlignment="1">
      <alignment horizontal="center" vertical="center" wrapText="1"/>
    </xf>
    <xf numFmtId="164" fontId="28" fillId="0" borderId="15" xfId="1" applyNumberFormat="1" applyFont="1" applyBorder="1" applyAlignment="1">
      <alignment horizontal="center" vertical="center"/>
    </xf>
    <xf numFmtId="164" fontId="28" fillId="0" borderId="17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/>
    </xf>
    <xf numFmtId="164" fontId="22" fillId="0" borderId="7" xfId="4" applyNumberFormat="1" applyFont="1" applyBorder="1" applyAlignment="1">
      <alignment horizontal="center" vertical="center"/>
    </xf>
    <xf numFmtId="164" fontId="22" fillId="0" borderId="8" xfId="4" applyNumberFormat="1" applyFont="1" applyBorder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 wrapText="1"/>
    </xf>
    <xf numFmtId="164" fontId="22" fillId="0" borderId="7" xfId="4" applyNumberFormat="1" applyFont="1" applyBorder="1" applyAlignment="1">
      <alignment horizontal="center" vertical="center" wrapText="1"/>
    </xf>
    <xf numFmtId="164" fontId="22" fillId="0" borderId="8" xfId="4" applyNumberFormat="1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left" vertical="center"/>
    </xf>
    <xf numFmtId="0" fontId="23" fillId="0" borderId="3" xfId="22" applyFont="1" applyBorder="1" applyAlignment="1">
      <alignment horizontal="left" vertical="center"/>
    </xf>
    <xf numFmtId="0" fontId="23" fillId="0" borderId="13" xfId="22" applyFont="1" applyBorder="1" applyAlignment="1">
      <alignment horizontal="left" vertical="center"/>
    </xf>
    <xf numFmtId="0" fontId="23" fillId="0" borderId="1" xfId="22" applyFont="1" applyBorder="1" applyAlignment="1">
      <alignment horizontal="left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19" fillId="0" borderId="0" xfId="22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/>
    </xf>
    <xf numFmtId="164" fontId="23" fillId="0" borderId="6" xfId="4" applyNumberFormat="1" applyFont="1" applyBorder="1" applyAlignment="1">
      <alignment horizontal="center" vertical="center"/>
    </xf>
    <xf numFmtId="164" fontId="23" fillId="0" borderId="7" xfId="4" applyNumberFormat="1" applyFont="1" applyBorder="1" applyAlignment="1">
      <alignment horizontal="center" vertical="center"/>
    </xf>
    <xf numFmtId="164" fontId="23" fillId="0" borderId="8" xfId="4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28" fillId="3" borderId="5" xfId="1" applyNumberFormat="1" applyFont="1" applyFill="1" applyBorder="1" applyAlignment="1">
      <alignment horizontal="center" vertical="center"/>
    </xf>
    <xf numFmtId="164" fontId="28" fillId="3" borderId="4" xfId="1" applyNumberFormat="1" applyFont="1" applyFill="1" applyBorder="1" applyAlignment="1">
      <alignment horizontal="center" vertical="center"/>
    </xf>
    <xf numFmtId="164" fontId="28" fillId="3" borderId="2" xfId="1" applyNumberFormat="1" applyFont="1" applyFill="1" applyBorder="1" applyAlignment="1">
      <alignment horizontal="center" vertical="center"/>
    </xf>
    <xf numFmtId="14" fontId="28" fillId="0" borderId="26" xfId="0" applyNumberFormat="1" applyFont="1" applyBorder="1" applyAlignment="1">
      <alignment horizontal="center" vertical="center"/>
    </xf>
    <xf numFmtId="43" fontId="28" fillId="0" borderId="26" xfId="1" applyFont="1" applyBorder="1" applyAlignment="1">
      <alignment horizontal="center" vertical="center"/>
    </xf>
    <xf numFmtId="164" fontId="28" fillId="0" borderId="26" xfId="1" applyNumberFormat="1" applyFont="1" applyBorder="1" applyAlignment="1">
      <alignment horizontal="center" vertical="center"/>
    </xf>
    <xf numFmtId="43" fontId="37" fillId="0" borderId="5" xfId="1" applyFont="1" applyBorder="1" applyAlignment="1">
      <alignment horizontal="center" vertical="center"/>
    </xf>
    <xf numFmtId="43" fontId="37" fillId="0" borderId="4" xfId="1" applyFont="1" applyBorder="1" applyAlignment="1">
      <alignment horizontal="center" vertical="center"/>
    </xf>
    <xf numFmtId="43" fontId="37" fillId="0" borderId="2" xfId="1" applyFont="1" applyBorder="1" applyAlignment="1">
      <alignment horizontal="center" vertical="center"/>
    </xf>
    <xf numFmtId="164" fontId="37" fillId="0" borderId="5" xfId="1" applyNumberFormat="1" applyFont="1" applyBorder="1" applyAlignment="1">
      <alignment horizontal="center" vertical="center"/>
    </xf>
    <xf numFmtId="164" fontId="37" fillId="0" borderId="4" xfId="1" applyNumberFormat="1" applyFont="1" applyBorder="1" applyAlignment="1">
      <alignment horizontal="center" vertical="center"/>
    </xf>
    <xf numFmtId="164" fontId="37" fillId="0" borderId="2" xfId="1" applyNumberFormat="1" applyFont="1" applyBorder="1" applyAlignment="1">
      <alignment horizontal="center" vertical="center"/>
    </xf>
    <xf numFmtId="14" fontId="37" fillId="0" borderId="5" xfId="0" applyNumberFormat="1" applyFont="1" applyBorder="1" applyAlignment="1">
      <alignment horizontal="center" vertical="center"/>
    </xf>
    <xf numFmtId="14" fontId="37" fillId="0" borderId="4" xfId="0" applyNumberFormat="1" applyFont="1" applyBorder="1" applyAlignment="1">
      <alignment horizontal="center" vertical="center"/>
    </xf>
    <xf numFmtId="14" fontId="37" fillId="0" borderId="2" xfId="0" applyNumberFormat="1" applyFont="1" applyBorder="1" applyAlignment="1">
      <alignment horizontal="center" vertical="center"/>
    </xf>
    <xf numFmtId="43" fontId="28" fillId="3" borderId="5" xfId="1" applyFont="1" applyFill="1" applyBorder="1" applyAlignment="1">
      <alignment horizontal="center" vertical="center"/>
    </xf>
    <xf numFmtId="43" fontId="28" fillId="3" borderId="4" xfId="1" applyFont="1" applyFill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4" fontId="28" fillId="3" borderId="5" xfId="0" applyNumberFormat="1" applyFont="1" applyFill="1" applyBorder="1" applyAlignment="1">
      <alignment horizontal="center" vertical="center"/>
    </xf>
    <xf numFmtId="14" fontId="28" fillId="3" borderId="4" xfId="0" applyNumberFormat="1" applyFont="1" applyFill="1" applyBorder="1" applyAlignment="1">
      <alignment horizontal="center" vertical="center"/>
    </xf>
    <xf numFmtId="14" fontId="28" fillId="3" borderId="2" xfId="0" applyNumberFormat="1" applyFont="1" applyFill="1" applyBorder="1" applyAlignment="1">
      <alignment horizontal="center" vertical="center"/>
    </xf>
    <xf numFmtId="0" fontId="27" fillId="0" borderId="6" xfId="22" applyFont="1" applyBorder="1" applyAlignment="1">
      <alignment horizontal="center" vertical="center" wrapText="1"/>
    </xf>
    <xf numFmtId="0" fontId="27" fillId="0" borderId="8" xfId="22" applyFont="1" applyBorder="1" applyAlignment="1">
      <alignment horizontal="center" vertical="center" wrapText="1"/>
    </xf>
    <xf numFmtId="0" fontId="27" fillId="0" borderId="26" xfId="22" applyFont="1" applyBorder="1" applyAlignment="1">
      <alignment horizontal="center" vertical="center" wrapText="1"/>
    </xf>
    <xf numFmtId="0" fontId="27" fillId="0" borderId="27" xfId="22" applyFont="1" applyBorder="1" applyAlignment="1">
      <alignment horizontal="center" vertical="center" wrapText="1"/>
    </xf>
    <xf numFmtId="164" fontId="27" fillId="0" borderId="26" xfId="4" applyNumberFormat="1" applyFont="1" applyBorder="1" applyAlignment="1">
      <alignment horizontal="center" vertical="center" wrapText="1"/>
    </xf>
    <xf numFmtId="164" fontId="27" fillId="0" borderId="27" xfId="4" applyNumberFormat="1" applyFont="1" applyBorder="1" applyAlignment="1">
      <alignment horizontal="center" vertical="center" wrapText="1"/>
    </xf>
    <xf numFmtId="164" fontId="28" fillId="0" borderId="21" xfId="1" applyNumberFormat="1" applyFont="1" applyBorder="1" applyAlignment="1">
      <alignment horizontal="center" vertical="center"/>
    </xf>
    <xf numFmtId="164" fontId="28" fillId="0" borderId="23" xfId="1" applyNumberFormat="1" applyFont="1" applyBorder="1" applyAlignment="1">
      <alignment horizontal="center" vertical="center"/>
    </xf>
    <xf numFmtId="164" fontId="28" fillId="0" borderId="24" xfId="1" applyNumberFormat="1" applyFont="1" applyBorder="1" applyAlignment="1">
      <alignment horizontal="center" vertical="center"/>
    </xf>
    <xf numFmtId="164" fontId="28" fillId="0" borderId="28" xfId="1" applyNumberFormat="1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4" fontId="27" fillId="0" borderId="0" xfId="0" applyNumberFormat="1" applyFont="1" applyAlignment="1">
      <alignment horizontal="center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4" fontId="5" fillId="0" borderId="14" xfId="1" applyNumberFormat="1" applyFont="1" applyBorder="1"/>
    <xf numFmtId="172" fontId="4" fillId="0" borderId="0" xfId="1" applyNumberFormat="1" applyFont="1" applyBorder="1" applyAlignment="1">
      <alignment horizontal="center" vertical="center"/>
    </xf>
  </cellXfs>
  <cellStyles count="40">
    <cellStyle name="cg" xfId="2"/>
    <cellStyle name="Comma" xfId="1" builtinId="3"/>
    <cellStyle name="Comma 2" xfId="3"/>
    <cellStyle name="Comma 3" xfId="4"/>
    <cellStyle name="Comma 4" xfId="5"/>
    <cellStyle name="Comma 5" xfId="6"/>
    <cellStyle name="Comma 6" xfId="7"/>
    <cellStyle name="Comma0" xfId="8"/>
    <cellStyle name="Currency0" xfId="9"/>
    <cellStyle name="Date" xfId="10"/>
    <cellStyle name="f1" xfId="11"/>
    <cellStyle name="f2" xfId="12"/>
    <cellStyle name="Fixed" xfId="13"/>
    <cellStyle name="Header1" xfId="14"/>
    <cellStyle name="Header2" xfId="15"/>
    <cellStyle name="k0" xfId="16"/>
    <cellStyle name="k1" xfId="17"/>
    <cellStyle name="k2" xfId="18"/>
    <cellStyle name="k3" xfId="19"/>
    <cellStyle name="moi" xfId="20"/>
    <cellStyle name="Normal" xfId="0" builtinId="0"/>
    <cellStyle name="Normal 2" xfId="21"/>
    <cellStyle name="Normal 3" xfId="22"/>
    <cellStyle name="Normal 4" xfId="23"/>
    <cellStyle name="Normal 4 2" xfId="38"/>
    <cellStyle name="Normal 5" xfId="24"/>
    <cellStyle name="Normal_CHI PHI HANG CHÚ NGUYÊN" xfId="25"/>
    <cellStyle name="Normal_ketoanthucte_NhatKySoCai 2" xfId="39"/>
    <cellStyle name="TD1" xfId="26"/>
    <cellStyle name="똿뗦먛귟 [0.00]_PRODUCT DETAIL Q1" xfId="27"/>
    <cellStyle name="똿뗦먛귟_PRODUCT DETAIL Q1" xfId="28"/>
    <cellStyle name="믅됞 [0.00]_PRODUCT DETAIL Q1" xfId="29"/>
    <cellStyle name="믅됞_PRODUCT DETAIL Q1" xfId="30"/>
    <cellStyle name="백분율_HOBONG" xfId="31"/>
    <cellStyle name="뷭?_BOOKSHIP" xfId="32"/>
    <cellStyle name="콤마 [0]_1202" xfId="33"/>
    <cellStyle name="콤마_1202" xfId="34"/>
    <cellStyle name="통화 [0]_1202" xfId="35"/>
    <cellStyle name="통화_1202" xfId="36"/>
    <cellStyle name="표준_(정보부문)월별인원계획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190494</xdr:colOff>
      <xdr:row>0</xdr:row>
      <xdr:rowOff>95250</xdr:rowOff>
    </xdr:from>
    <xdr:to>
      <xdr:col>1</xdr:col>
      <xdr:colOff>571494</xdr:colOff>
      <xdr:row>1</xdr:row>
      <xdr:rowOff>142875</xdr:rowOff>
    </xdr:to>
    <xdr:pic>
      <xdr:nvPicPr>
        <xdr:cNvPr id="2" name="Picture 1" descr="LOGO copy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994" y="95250"/>
          <a:ext cx="381000" cy="280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W71"/>
  <sheetViews>
    <sheetView tabSelected="1" topLeftCell="B46" zoomScale="90" zoomScaleNormal="90" workbookViewId="0">
      <selection activeCell="B14" sqref="B14:L68"/>
    </sheetView>
  </sheetViews>
  <sheetFormatPr defaultColWidth="9.140625" defaultRowHeight="15" customHeight="1"/>
  <cols>
    <col min="1" max="1" width="1" customWidth="1"/>
    <col min="2" max="2" width="4.140625" customWidth="1"/>
    <col min="3" max="3" width="8.5703125" customWidth="1"/>
    <col min="4" max="4" width="9.5703125" customWidth="1"/>
    <col min="5" max="5" width="9.42578125" customWidth="1"/>
    <col min="6" max="6" width="15" customWidth="1"/>
    <col min="7" max="7" width="9.5703125" customWidth="1"/>
    <col min="8" max="8" width="8.85546875" customWidth="1"/>
    <col min="9" max="9" width="7.28515625" hidden="1" customWidth="1"/>
    <col min="10" max="10" width="10.28515625" customWidth="1"/>
    <col min="11" max="11" width="9.5703125" customWidth="1"/>
    <col min="12" max="12" width="17.42578125" customWidth="1"/>
    <col min="13" max="13" width="3.7109375" customWidth="1"/>
    <col min="14" max="14" width="5.7109375" customWidth="1"/>
    <col min="15" max="16" width="9" customWidth="1"/>
    <col min="17" max="17" width="15.5703125" customWidth="1"/>
    <col min="18" max="19" width="9" customWidth="1"/>
    <col min="20" max="20" width="11" bestFit="1" customWidth="1"/>
    <col min="21" max="21" width="7.7109375" customWidth="1"/>
    <col min="22" max="22" width="18.7109375" bestFit="1" customWidth="1"/>
    <col min="23" max="23" width="10.85546875" customWidth="1"/>
  </cols>
  <sheetData>
    <row r="1" spans="1:23" s="335" customFormat="1" ht="15" customHeight="1">
      <c r="A1" s="559"/>
      <c r="B1" s="334"/>
      <c r="C1" s="352" t="s">
        <v>1131</v>
      </c>
      <c r="D1" s="353"/>
      <c r="E1" s="353"/>
      <c r="F1" s="354"/>
      <c r="G1" s="353"/>
      <c r="H1" s="353"/>
      <c r="I1" s="353"/>
      <c r="J1" s="353"/>
      <c r="K1" s="353"/>
      <c r="L1" s="353"/>
      <c r="M1" s="559"/>
    </row>
    <row r="2" spans="1:23" s="335" customFormat="1" ht="15" customHeight="1">
      <c r="A2" s="559"/>
      <c r="B2" s="803" t="s">
        <v>0</v>
      </c>
      <c r="C2" s="803" t="s">
        <v>30</v>
      </c>
      <c r="D2" s="803" t="s">
        <v>31</v>
      </c>
      <c r="E2" s="803" t="s">
        <v>725</v>
      </c>
      <c r="F2" s="803" t="s">
        <v>103</v>
      </c>
      <c r="G2" s="803" t="s">
        <v>32</v>
      </c>
      <c r="H2" s="805" t="s">
        <v>83</v>
      </c>
      <c r="I2" s="806"/>
      <c r="J2" s="813" t="s">
        <v>33</v>
      </c>
      <c r="K2" s="815" t="s">
        <v>106</v>
      </c>
      <c r="L2" s="815" t="s">
        <v>9</v>
      </c>
      <c r="M2" s="559"/>
    </row>
    <row r="3" spans="1:23" s="335" customFormat="1" ht="15" customHeight="1">
      <c r="A3" s="559"/>
      <c r="B3" s="803"/>
      <c r="C3" s="803"/>
      <c r="D3" s="803"/>
      <c r="E3" s="803"/>
      <c r="F3" s="803"/>
      <c r="G3" s="803"/>
      <c r="H3" s="807"/>
      <c r="I3" s="808"/>
      <c r="J3" s="814"/>
      <c r="K3" s="815"/>
      <c r="L3" s="815"/>
      <c r="M3" s="559"/>
    </row>
    <row r="4" spans="1:23" s="335" customFormat="1" ht="15" customHeight="1">
      <c r="A4" s="559"/>
      <c r="B4" s="489">
        <v>1</v>
      </c>
      <c r="C4" s="355">
        <v>42940</v>
      </c>
      <c r="D4" s="355"/>
      <c r="E4" s="513">
        <v>42972</v>
      </c>
      <c r="F4" s="356"/>
      <c r="G4" s="356">
        <f>IF(D4&lt;&gt;"",D4-C4+1,IF(E4&lt;&gt;"",E4-C4+1,""))</f>
        <v>33</v>
      </c>
      <c r="H4" s="619">
        <v>4370</v>
      </c>
      <c r="I4" s="619">
        <f t="shared" ref="I4:I9" si="0">IF(D4&lt;&gt;"",H4,0)</f>
        <v>0</v>
      </c>
      <c r="J4" s="621">
        <f t="shared" ref="J4:J9" si="1">H4*13</f>
        <v>56810</v>
      </c>
      <c r="K4" s="357">
        <f>IF(G4&lt;&gt;"",20000,0)</f>
        <v>20000</v>
      </c>
      <c r="L4" s="357">
        <f>IF(G4&lt;&gt;"",K4*J4*G4/1000,"")</f>
        <v>37494600</v>
      </c>
      <c r="M4" s="559"/>
    </row>
    <row r="5" spans="1:23" s="335" customFormat="1" ht="15" customHeight="1">
      <c r="A5" s="559"/>
      <c r="B5" s="489">
        <v>2</v>
      </c>
      <c r="C5" s="355">
        <v>42942</v>
      </c>
      <c r="D5" s="355"/>
      <c r="E5" s="513">
        <v>42972</v>
      </c>
      <c r="F5" s="356"/>
      <c r="G5" s="356">
        <f t="shared" ref="G5:G8" si="2">IF(D5&lt;&gt;"",D5-C5+1,IF(E5&lt;&gt;"",E5-C5+1,""))</f>
        <v>31</v>
      </c>
      <c r="H5" s="619">
        <v>4961</v>
      </c>
      <c r="I5" s="619">
        <f t="shared" si="0"/>
        <v>0</v>
      </c>
      <c r="J5" s="621">
        <f t="shared" si="1"/>
        <v>64493</v>
      </c>
      <c r="K5" s="357">
        <f t="shared" ref="K5:K9" si="3">IF(G5&lt;&gt;"",20000,0)</f>
        <v>20000</v>
      </c>
      <c r="L5" s="357">
        <f t="shared" ref="L5:L8" si="4">IF(G5&lt;&gt;"",K5*J5*G5/1000,"")</f>
        <v>39985660</v>
      </c>
      <c r="M5" s="559"/>
    </row>
    <row r="6" spans="1:23" s="335" customFormat="1" ht="15" customHeight="1">
      <c r="A6" s="559"/>
      <c r="B6" s="489">
        <v>3</v>
      </c>
      <c r="C6" s="355">
        <v>42960</v>
      </c>
      <c r="D6" s="355"/>
      <c r="E6" s="513">
        <v>42972</v>
      </c>
      <c r="F6" s="356"/>
      <c r="G6" s="356">
        <f t="shared" si="2"/>
        <v>13</v>
      </c>
      <c r="H6" s="619">
        <v>2497</v>
      </c>
      <c r="I6" s="619">
        <f t="shared" si="0"/>
        <v>0</v>
      </c>
      <c r="J6" s="621">
        <f t="shared" si="1"/>
        <v>32461</v>
      </c>
      <c r="K6" s="357">
        <f t="shared" si="3"/>
        <v>20000</v>
      </c>
      <c r="L6" s="357">
        <f t="shared" si="4"/>
        <v>8439860</v>
      </c>
      <c r="M6" s="559"/>
    </row>
    <row r="7" spans="1:23" s="335" customFormat="1" ht="15" customHeight="1">
      <c r="A7" s="559"/>
      <c r="B7" s="489">
        <v>4</v>
      </c>
      <c r="C7" s="355">
        <v>42967</v>
      </c>
      <c r="D7" s="355"/>
      <c r="E7" s="513">
        <v>42972</v>
      </c>
      <c r="F7" s="356"/>
      <c r="G7" s="356">
        <f t="shared" si="2"/>
        <v>6</v>
      </c>
      <c r="H7" s="619">
        <v>1000</v>
      </c>
      <c r="I7" s="619">
        <f t="shared" si="0"/>
        <v>0</v>
      </c>
      <c r="J7" s="621">
        <f t="shared" si="1"/>
        <v>13000</v>
      </c>
      <c r="K7" s="357">
        <f t="shared" si="3"/>
        <v>20000</v>
      </c>
      <c r="L7" s="357">
        <f t="shared" si="4"/>
        <v>1560000</v>
      </c>
      <c r="M7" s="559"/>
    </row>
    <row r="8" spans="1:23" s="335" customFormat="1" ht="15" customHeight="1">
      <c r="A8" s="559"/>
      <c r="B8" s="489">
        <v>5</v>
      </c>
      <c r="C8" s="355">
        <v>42971</v>
      </c>
      <c r="D8" s="355"/>
      <c r="E8" s="513">
        <v>42972</v>
      </c>
      <c r="F8" s="356"/>
      <c r="G8" s="356">
        <f t="shared" si="2"/>
        <v>2</v>
      </c>
      <c r="H8" s="619">
        <v>210</v>
      </c>
      <c r="I8" s="619">
        <f t="shared" si="0"/>
        <v>0</v>
      </c>
      <c r="J8" s="621">
        <f t="shared" si="1"/>
        <v>2730</v>
      </c>
      <c r="K8" s="357">
        <f t="shared" si="3"/>
        <v>20000</v>
      </c>
      <c r="L8" s="357">
        <f t="shared" si="4"/>
        <v>109200</v>
      </c>
      <c r="M8" s="559"/>
    </row>
    <row r="9" spans="1:23" s="335" customFormat="1" ht="15" customHeight="1">
      <c r="A9" s="559"/>
      <c r="B9" s="489"/>
      <c r="C9" s="355"/>
      <c r="D9" s="355"/>
      <c r="E9" s="513"/>
      <c r="F9" s="356"/>
      <c r="G9" s="356" t="str">
        <f t="shared" ref="G9" si="5">IF(D9&lt;&gt;"",D9-C9+1,"")</f>
        <v/>
      </c>
      <c r="H9" s="619"/>
      <c r="I9" s="619">
        <f t="shared" si="0"/>
        <v>0</v>
      </c>
      <c r="J9" s="621">
        <f t="shared" si="1"/>
        <v>0</v>
      </c>
      <c r="K9" s="357">
        <f t="shared" si="3"/>
        <v>0</v>
      </c>
      <c r="L9" s="357" t="str">
        <f>IF(G9&lt;&gt;"",K9*J9*#REF!/1000,"")</f>
        <v/>
      </c>
      <c r="M9" s="559"/>
    </row>
    <row r="10" spans="1:23" s="335" customFormat="1" ht="15" customHeight="1">
      <c r="A10" s="559"/>
      <c r="B10" s="414"/>
      <c r="C10" s="414"/>
      <c r="D10" s="414"/>
      <c r="E10" s="414"/>
      <c r="F10" s="414" t="s">
        <v>19</v>
      </c>
      <c r="G10" s="414"/>
      <c r="H10" s="413">
        <f>SUM(H4:H9)</f>
        <v>13038</v>
      </c>
      <c r="I10" s="413">
        <f>SUM(I4:I9)</f>
        <v>0</v>
      </c>
      <c r="J10" s="413">
        <f>SUM(J4:J9)</f>
        <v>169494</v>
      </c>
      <c r="K10" s="413"/>
      <c r="L10" s="415">
        <f>SUM(L4:L9)</f>
        <v>87589320</v>
      </c>
      <c r="M10" s="559"/>
    </row>
    <row r="11" spans="1:23" s="335" customFormat="1" ht="15" customHeight="1">
      <c r="A11" s="559"/>
      <c r="B11" s="334"/>
      <c r="C11" s="334"/>
      <c r="D11" s="334"/>
      <c r="E11" s="334"/>
      <c r="F11" s="352"/>
      <c r="G11" s="624"/>
      <c r="H11" s="557" t="s">
        <v>899</v>
      </c>
      <c r="I11" s="557"/>
      <c r="L11" s="537">
        <f>J10*15</f>
        <v>2542410</v>
      </c>
      <c r="M11" s="559"/>
    </row>
    <row r="12" spans="1:23" s="335" customFormat="1" ht="15" customHeight="1">
      <c r="A12" s="559"/>
      <c r="B12" s="334"/>
      <c r="C12" s="334"/>
      <c r="D12" s="334"/>
      <c r="E12" s="334"/>
      <c r="F12" s="334"/>
      <c r="G12" s="334"/>
      <c r="H12" s="334"/>
      <c r="I12" s="334"/>
      <c r="L12" s="558"/>
      <c r="M12" s="559"/>
    </row>
    <row r="13" spans="1:23" s="335" customFormat="1" ht="15" customHeight="1">
      <c r="A13" s="559"/>
      <c r="B13" s="560"/>
      <c r="C13" s="681" t="s">
        <v>1156</v>
      </c>
      <c r="D13" s="560"/>
      <c r="E13" s="560"/>
      <c r="F13" s="560"/>
      <c r="G13" s="560"/>
      <c r="H13" s="560" t="s">
        <v>900</v>
      </c>
      <c r="I13" s="560"/>
      <c r="J13" s="560"/>
      <c r="K13" s="560"/>
      <c r="L13" s="561">
        <f>L10+L11</f>
        <v>90131730</v>
      </c>
      <c r="M13" s="559"/>
    </row>
    <row r="14" spans="1:23" s="335" customFormat="1" ht="15" customHeight="1">
      <c r="A14" s="559"/>
      <c r="B14" s="334"/>
      <c r="C14" s="352" t="s">
        <v>1179</v>
      </c>
      <c r="D14" s="353"/>
      <c r="E14" s="353"/>
      <c r="F14" s="354"/>
      <c r="G14" s="353"/>
      <c r="H14" s="353"/>
      <c r="I14" s="353"/>
      <c r="J14" s="353"/>
      <c r="K14" s="353"/>
      <c r="L14" s="353"/>
      <c r="M14" s="559"/>
      <c r="N14" s="352" t="s">
        <v>1248</v>
      </c>
    </row>
    <row r="15" spans="1:23" s="335" customFormat="1" ht="15" customHeight="1">
      <c r="A15" s="559"/>
      <c r="B15" s="803" t="s">
        <v>0</v>
      </c>
      <c r="C15" s="803" t="s">
        <v>30</v>
      </c>
      <c r="D15" s="803" t="s">
        <v>31</v>
      </c>
      <c r="E15" s="803" t="s">
        <v>725</v>
      </c>
      <c r="F15" s="803" t="s">
        <v>103</v>
      </c>
      <c r="G15" s="803" t="s">
        <v>32</v>
      </c>
      <c r="H15" s="805" t="s">
        <v>83</v>
      </c>
      <c r="I15" s="806"/>
      <c r="J15" s="813" t="s">
        <v>33</v>
      </c>
      <c r="K15" s="815" t="s">
        <v>106</v>
      </c>
      <c r="L15" s="815" t="s">
        <v>9</v>
      </c>
      <c r="M15" s="559"/>
      <c r="N15" s="803" t="s">
        <v>0</v>
      </c>
      <c r="O15" s="803" t="s">
        <v>1241</v>
      </c>
      <c r="P15" s="803" t="s">
        <v>1</v>
      </c>
      <c r="Q15" s="803" t="s">
        <v>21</v>
      </c>
      <c r="R15" s="803" t="s">
        <v>83</v>
      </c>
      <c r="S15" s="803" t="s">
        <v>1244</v>
      </c>
      <c r="T15" s="803" t="s">
        <v>7</v>
      </c>
      <c r="U15" s="803" t="s">
        <v>8</v>
      </c>
      <c r="V15" s="803" t="s">
        <v>9</v>
      </c>
      <c r="W15" s="803" t="s">
        <v>82</v>
      </c>
    </row>
    <row r="16" spans="1:23" s="335" customFormat="1" ht="15" customHeight="1">
      <c r="A16" s="559"/>
      <c r="B16" s="803"/>
      <c r="C16" s="803"/>
      <c r="D16" s="803"/>
      <c r="E16" s="803"/>
      <c r="F16" s="803"/>
      <c r="G16" s="803"/>
      <c r="H16" s="807"/>
      <c r="I16" s="808"/>
      <c r="J16" s="814"/>
      <c r="K16" s="815"/>
      <c r="L16" s="815"/>
      <c r="M16" s="559"/>
      <c r="N16" s="803"/>
      <c r="O16" s="803"/>
      <c r="P16" s="803"/>
      <c r="Q16" s="803"/>
      <c r="R16" s="803"/>
      <c r="S16" s="803"/>
      <c r="T16" s="803"/>
      <c r="U16" s="803"/>
      <c r="V16" s="803"/>
      <c r="W16" s="803"/>
    </row>
    <row r="17" spans="1:23" s="335" customFormat="1" ht="15" customHeight="1">
      <c r="A17" s="559"/>
      <c r="B17" s="489">
        <v>1</v>
      </c>
      <c r="C17" s="355">
        <v>42972</v>
      </c>
      <c r="D17" s="355">
        <v>43069</v>
      </c>
      <c r="E17" s="513"/>
      <c r="F17" s="809" t="s">
        <v>1191</v>
      </c>
      <c r="G17" s="707">
        <f>IF(D17&lt;&gt;"",D17-C17+1,IF(E17&lt;&gt;"",E17-C17+1,""))</f>
        <v>98</v>
      </c>
      <c r="H17" s="704">
        <f>13038-H26-SUM(H27:H31)</f>
        <v>497</v>
      </c>
      <c r="I17" s="704">
        <f t="shared" ref="I17" si="6">IF(D17&lt;&gt;"",H17,0)</f>
        <v>497</v>
      </c>
      <c r="J17" s="705">
        <f t="shared" ref="J17:J30" si="7">H17*13</f>
        <v>6461</v>
      </c>
      <c r="K17" s="357">
        <f t="shared" ref="K17:K30" si="8">IF(G17&lt;&gt;"",20000,0)</f>
        <v>20000</v>
      </c>
      <c r="L17" s="357">
        <f>IF(G17&lt;&gt;"",K17*J17*G17/1000,"")</f>
        <v>12663560</v>
      </c>
      <c r="M17" s="559"/>
      <c r="N17" s="489"/>
      <c r="O17" s="355"/>
      <c r="P17" s="355"/>
      <c r="Q17" s="253" t="s">
        <v>1242</v>
      </c>
      <c r="R17" s="310">
        <v>271</v>
      </c>
      <c r="S17" s="310">
        <v>13</v>
      </c>
      <c r="T17" s="758">
        <f t="shared" ref="T17:T38" si="9">R17*S17</f>
        <v>3523</v>
      </c>
      <c r="U17" s="310">
        <v>49000</v>
      </c>
      <c r="V17" s="768">
        <f t="shared" ref="V17:V38" si="10">T17*U17</f>
        <v>172627000</v>
      </c>
      <c r="W17" s="253"/>
    </row>
    <row r="18" spans="1:23" s="335" customFormat="1" ht="15" customHeight="1">
      <c r="A18" s="559"/>
      <c r="B18" s="489">
        <v>2</v>
      </c>
      <c r="C18" s="355">
        <v>42973</v>
      </c>
      <c r="D18" s="355">
        <v>43069</v>
      </c>
      <c r="E18" s="513"/>
      <c r="F18" s="810"/>
      <c r="G18" s="707">
        <f>IF(D18&lt;&gt;"",D18-C18+1,IF(E18&lt;&gt;"",E18-C18+1,""))</f>
        <v>97</v>
      </c>
      <c r="H18" s="704">
        <v>1000</v>
      </c>
      <c r="I18" s="704">
        <f t="shared" ref="I18:I35" si="11">IF(D18&lt;&gt;"",H18,0)</f>
        <v>1000</v>
      </c>
      <c r="J18" s="705">
        <f t="shared" ref="J18" si="12">H18*13</f>
        <v>13000</v>
      </c>
      <c r="K18" s="357">
        <f t="shared" ref="K18" si="13">IF(G18&lt;&gt;"",20000,0)</f>
        <v>20000</v>
      </c>
      <c r="L18" s="357">
        <f>IF(G18&lt;&gt;"",K18*J18*G18/1000,"")</f>
        <v>25220000</v>
      </c>
      <c r="M18" s="559"/>
      <c r="N18" s="489"/>
      <c r="O18" s="355"/>
      <c r="P18" s="355"/>
      <c r="Q18" s="253" t="s">
        <v>1242</v>
      </c>
      <c r="R18" s="310">
        <v>114</v>
      </c>
      <c r="S18" s="310">
        <v>13</v>
      </c>
      <c r="T18" s="758">
        <f t="shared" si="9"/>
        <v>1482</v>
      </c>
      <c r="U18" s="310">
        <v>49000</v>
      </c>
      <c r="V18" s="768">
        <f t="shared" si="10"/>
        <v>72618000</v>
      </c>
      <c r="W18" s="253"/>
    </row>
    <row r="19" spans="1:23" s="335" customFormat="1" ht="15" customHeight="1">
      <c r="A19" s="559"/>
      <c r="B19" s="489">
        <v>3</v>
      </c>
      <c r="C19" s="355">
        <v>42974</v>
      </c>
      <c r="D19" s="355">
        <v>43069</v>
      </c>
      <c r="E19" s="513"/>
      <c r="F19" s="810"/>
      <c r="G19" s="707">
        <f t="shared" ref="G19:G20" si="14">IF(D19&lt;&gt;"",D19-C19+1,IF(E19&lt;&gt;"",E19-C19+1,""))</f>
        <v>96</v>
      </c>
      <c r="H19" s="704">
        <v>1441</v>
      </c>
      <c r="I19" s="704">
        <f t="shared" si="11"/>
        <v>1441</v>
      </c>
      <c r="J19" s="705">
        <f t="shared" si="7"/>
        <v>18733</v>
      </c>
      <c r="K19" s="357">
        <f t="shared" si="8"/>
        <v>20000</v>
      </c>
      <c r="L19" s="357">
        <f t="shared" ref="L19:L20" si="15">IF(G19&lt;&gt;"",K19*J19*G19/1000,"")</f>
        <v>35967360</v>
      </c>
      <c r="M19" s="559"/>
      <c r="N19" s="489"/>
      <c r="O19" s="355"/>
      <c r="P19" s="355"/>
      <c r="Q19" s="253" t="s">
        <v>1292</v>
      </c>
      <c r="R19" s="310">
        <v>60</v>
      </c>
      <c r="S19" s="310">
        <v>13</v>
      </c>
      <c r="T19" s="758">
        <f t="shared" si="9"/>
        <v>780</v>
      </c>
      <c r="U19" s="310">
        <v>35000</v>
      </c>
      <c r="V19" s="768">
        <f t="shared" si="10"/>
        <v>27300000</v>
      </c>
      <c r="W19" s="253"/>
    </row>
    <row r="20" spans="1:23" s="335" customFormat="1" ht="15" customHeight="1">
      <c r="A20" s="559"/>
      <c r="B20" s="489">
        <v>4</v>
      </c>
      <c r="C20" s="355">
        <v>42975</v>
      </c>
      <c r="D20" s="355">
        <v>43069</v>
      </c>
      <c r="E20" s="513"/>
      <c r="F20" s="810"/>
      <c r="G20" s="707">
        <f t="shared" si="14"/>
        <v>95</v>
      </c>
      <c r="H20" s="704">
        <v>1122</v>
      </c>
      <c r="I20" s="704">
        <f t="shared" si="11"/>
        <v>1122</v>
      </c>
      <c r="J20" s="705">
        <f t="shared" si="7"/>
        <v>14586</v>
      </c>
      <c r="K20" s="357">
        <f t="shared" si="8"/>
        <v>20000</v>
      </c>
      <c r="L20" s="357">
        <f t="shared" si="15"/>
        <v>27713400</v>
      </c>
      <c r="M20" s="559"/>
      <c r="N20" s="489">
        <v>8</v>
      </c>
      <c r="O20" s="355">
        <v>43140</v>
      </c>
      <c r="P20" s="355">
        <v>43140</v>
      </c>
      <c r="Q20" s="253" t="s">
        <v>1242</v>
      </c>
      <c r="R20" s="310">
        <v>1570</v>
      </c>
      <c r="S20" s="310">
        <v>13</v>
      </c>
      <c r="T20" s="758">
        <f t="shared" si="9"/>
        <v>20410</v>
      </c>
      <c r="U20" s="310">
        <v>49000</v>
      </c>
      <c r="V20" s="768">
        <f t="shared" si="10"/>
        <v>1000090000</v>
      </c>
      <c r="W20" s="253"/>
    </row>
    <row r="21" spans="1:23" s="335" customFormat="1" ht="15" customHeight="1">
      <c r="A21" s="559"/>
      <c r="B21" s="489">
        <v>5</v>
      </c>
      <c r="C21" s="355">
        <v>42975</v>
      </c>
      <c r="D21" s="355">
        <v>43083</v>
      </c>
      <c r="E21" s="513"/>
      <c r="F21" s="810"/>
      <c r="G21" s="707">
        <f t="shared" ref="G21" si="16">IF(D21&lt;&gt;"",D21-C21+1,IF(E21&lt;&gt;"",E21-C21+1,""))</f>
        <v>109</v>
      </c>
      <c r="H21" s="704">
        <f>1173-H20</f>
        <v>51</v>
      </c>
      <c r="I21" s="704">
        <f t="shared" ref="I21" si="17">IF(D21&lt;&gt;"",H21,0)</f>
        <v>51</v>
      </c>
      <c r="J21" s="705">
        <f t="shared" ref="J21" si="18">H21*13</f>
        <v>663</v>
      </c>
      <c r="K21" s="357">
        <f t="shared" ref="K21" si="19">IF(G21&lt;&gt;"",20000,0)</f>
        <v>20000</v>
      </c>
      <c r="L21" s="357">
        <f t="shared" ref="L21" si="20">IF(G21&lt;&gt;"",K21*J21*G21/1000,"")</f>
        <v>1445340</v>
      </c>
      <c r="M21" s="559"/>
      <c r="N21" s="489">
        <v>9</v>
      </c>
      <c r="O21" s="355">
        <v>43155</v>
      </c>
      <c r="P21" s="355">
        <v>43161</v>
      </c>
      <c r="Q21" s="253" t="s">
        <v>1242</v>
      </c>
      <c r="R21" s="310">
        <v>2030</v>
      </c>
      <c r="S21" s="310">
        <v>13</v>
      </c>
      <c r="T21" s="758">
        <f t="shared" si="9"/>
        <v>26390</v>
      </c>
      <c r="U21" s="310">
        <v>49500</v>
      </c>
      <c r="V21" s="768">
        <f t="shared" si="10"/>
        <v>1306305000</v>
      </c>
      <c r="W21" s="253"/>
    </row>
    <row r="22" spans="1:23" s="335" customFormat="1" ht="15" customHeight="1">
      <c r="A22" s="559"/>
      <c r="B22" s="489">
        <v>6</v>
      </c>
      <c r="C22" s="355">
        <v>42978</v>
      </c>
      <c r="D22" s="355">
        <v>43083</v>
      </c>
      <c r="E22" s="513"/>
      <c r="F22" s="810"/>
      <c r="G22" s="707">
        <f t="shared" ref="G22:G23" si="21">IF(D22&lt;&gt;"",D22-C22+1,IF(E22&lt;&gt;"",E22-C22+1,""))</f>
        <v>106</v>
      </c>
      <c r="H22" s="704">
        <v>1446</v>
      </c>
      <c r="I22" s="704">
        <f t="shared" si="11"/>
        <v>1446</v>
      </c>
      <c r="J22" s="705">
        <f t="shared" ref="J22:J23" si="22">H22*13</f>
        <v>18798</v>
      </c>
      <c r="K22" s="357">
        <f t="shared" ref="K22:K23" si="23">IF(G22&lt;&gt;"",20000,0)</f>
        <v>20000</v>
      </c>
      <c r="L22" s="357">
        <f t="shared" ref="L22:L23" si="24">IF(G22&lt;&gt;"",K22*J22*G22/1000,"")</f>
        <v>39851760</v>
      </c>
      <c r="M22" s="559"/>
      <c r="N22" s="489">
        <v>10</v>
      </c>
      <c r="O22" s="355">
        <v>43155</v>
      </c>
      <c r="P22" s="355">
        <v>43162</v>
      </c>
      <c r="Q22" s="253" t="s">
        <v>1242</v>
      </c>
      <c r="R22" s="310">
        <v>2030</v>
      </c>
      <c r="S22" s="310">
        <v>13</v>
      </c>
      <c r="T22" s="758">
        <f t="shared" si="9"/>
        <v>26390</v>
      </c>
      <c r="U22" s="310">
        <v>49500</v>
      </c>
      <c r="V22" s="768">
        <f t="shared" si="10"/>
        <v>1306305000</v>
      </c>
      <c r="W22" s="253"/>
    </row>
    <row r="23" spans="1:23" s="335" customFormat="1" ht="15" customHeight="1">
      <c r="A23" s="559"/>
      <c r="B23" s="489">
        <v>7</v>
      </c>
      <c r="C23" s="355">
        <v>42979</v>
      </c>
      <c r="D23" s="355">
        <v>43083</v>
      </c>
      <c r="E23" s="513"/>
      <c r="F23" s="811"/>
      <c r="G23" s="707">
        <f t="shared" si="21"/>
        <v>105</v>
      </c>
      <c r="H23" s="704">
        <f>533+42</f>
        <v>575</v>
      </c>
      <c r="I23" s="704">
        <f t="shared" ref="I23" si="25">IF(D23&lt;&gt;"",H23,0)</f>
        <v>575</v>
      </c>
      <c r="J23" s="705">
        <f t="shared" si="22"/>
        <v>7475</v>
      </c>
      <c r="K23" s="357">
        <f t="shared" si="23"/>
        <v>20000</v>
      </c>
      <c r="L23" s="357">
        <f t="shared" si="24"/>
        <v>15697500</v>
      </c>
      <c r="M23" s="559"/>
      <c r="N23" s="489">
        <v>11</v>
      </c>
      <c r="O23" s="355">
        <v>43156</v>
      </c>
      <c r="P23" s="355">
        <v>43167</v>
      </c>
      <c r="Q23" s="253" t="s">
        <v>1242</v>
      </c>
      <c r="R23" s="310">
        <v>2020</v>
      </c>
      <c r="S23" s="310">
        <v>13</v>
      </c>
      <c r="T23" s="758">
        <f t="shared" si="9"/>
        <v>26260</v>
      </c>
      <c r="U23" s="310">
        <v>49500</v>
      </c>
      <c r="V23" s="768">
        <f t="shared" si="10"/>
        <v>1299870000</v>
      </c>
      <c r="W23" s="253"/>
    </row>
    <row r="24" spans="1:23" s="335" customFormat="1" ht="15" customHeight="1">
      <c r="A24" s="559"/>
      <c r="B24" s="718">
        <v>8</v>
      </c>
      <c r="C24" s="719">
        <v>42979</v>
      </c>
      <c r="D24" s="719">
        <v>43083</v>
      </c>
      <c r="E24" s="720"/>
      <c r="F24" s="721" t="s">
        <v>1170</v>
      </c>
      <c r="G24" s="722">
        <f t="shared" ref="G24:G33" si="26">IF(D24&lt;&gt;"",D24-C24+1,IF(E24&lt;&gt;"",E24-C24+1,""))</f>
        <v>105</v>
      </c>
      <c r="H24" s="714">
        <f>3158-H32-H23</f>
        <v>553</v>
      </c>
      <c r="I24" s="714">
        <f t="shared" si="11"/>
        <v>553</v>
      </c>
      <c r="J24" s="608">
        <f t="shared" si="7"/>
        <v>7189</v>
      </c>
      <c r="K24" s="723">
        <f t="shared" si="8"/>
        <v>20000</v>
      </c>
      <c r="L24" s="723">
        <f t="shared" ref="L24:L30" si="27">IF(G24&lt;&gt;"",K24*J24*G24/1000,"")</f>
        <v>15096900</v>
      </c>
      <c r="M24" s="559"/>
      <c r="N24" s="489">
        <v>12</v>
      </c>
      <c r="O24" s="355">
        <v>43156</v>
      </c>
      <c r="P24" s="355">
        <v>43167</v>
      </c>
      <c r="Q24" s="253" t="s">
        <v>1242</v>
      </c>
      <c r="R24" s="310">
        <v>2030</v>
      </c>
      <c r="S24" s="310">
        <v>13</v>
      </c>
      <c r="T24" s="758">
        <f t="shared" si="9"/>
        <v>26390</v>
      </c>
      <c r="U24" s="310">
        <v>49500</v>
      </c>
      <c r="V24" s="768">
        <f t="shared" si="10"/>
        <v>1306305000</v>
      </c>
      <c r="W24" s="253"/>
    </row>
    <row r="25" spans="1:23" s="335" customFormat="1" ht="15" customHeight="1">
      <c r="A25" s="559"/>
      <c r="B25" s="489">
        <v>9</v>
      </c>
      <c r="C25" s="355">
        <v>42989</v>
      </c>
      <c r="D25" s="355">
        <v>42997</v>
      </c>
      <c r="E25" s="513"/>
      <c r="F25" s="717" t="s">
        <v>1171</v>
      </c>
      <c r="G25" s="707">
        <f t="shared" ref="G25" si="28">IF(D25&lt;&gt;"",D25-C25+1,IF(E25&lt;&gt;"",E25-C25+1,""))</f>
        <v>9</v>
      </c>
      <c r="H25" s="704">
        <v>1550</v>
      </c>
      <c r="I25" s="704">
        <f t="shared" ref="I25" si="29">IF(D25&lt;&gt;"",H25,0)</f>
        <v>1550</v>
      </c>
      <c r="J25" s="705">
        <f t="shared" ref="J25" si="30">H25*13</f>
        <v>20150</v>
      </c>
      <c r="K25" s="357">
        <f t="shared" ref="K25" si="31">IF(G25&lt;&gt;"",20000,0)</f>
        <v>20000</v>
      </c>
      <c r="L25" s="357">
        <f t="shared" ref="L25" si="32">IF(G25&lt;&gt;"",K25*J25*G25/1000,"")</f>
        <v>3627000</v>
      </c>
      <c r="M25" s="559"/>
      <c r="N25" s="489">
        <v>13</v>
      </c>
      <c r="O25" s="355">
        <v>43157</v>
      </c>
      <c r="P25" s="355">
        <v>43167</v>
      </c>
      <c r="Q25" s="253" t="s">
        <v>1242</v>
      </c>
      <c r="R25" s="310">
        <v>2040</v>
      </c>
      <c r="S25" s="310">
        <v>13</v>
      </c>
      <c r="T25" s="758">
        <f t="shared" si="9"/>
        <v>26520</v>
      </c>
      <c r="U25" s="310">
        <v>49500</v>
      </c>
      <c r="V25" s="768">
        <f t="shared" si="10"/>
        <v>1312740000</v>
      </c>
      <c r="W25" s="253"/>
    </row>
    <row r="26" spans="1:23" s="335" customFormat="1" ht="15" customHeight="1">
      <c r="A26" s="559"/>
      <c r="B26" s="489">
        <v>10</v>
      </c>
      <c r="C26" s="355">
        <v>42972</v>
      </c>
      <c r="D26" s="355">
        <v>42985</v>
      </c>
      <c r="E26" s="513"/>
      <c r="F26" s="706" t="s">
        <v>1193</v>
      </c>
      <c r="G26" s="707">
        <f>IF(D26&lt;&gt;"",D26-C26+1,IF(E26&lt;&gt;"",E26-C26+1,""))</f>
        <v>14</v>
      </c>
      <c r="H26" s="704">
        <f>4620+400</f>
        <v>5020</v>
      </c>
      <c r="I26" s="704">
        <f t="shared" ref="I26" si="33">IF(D26&lt;&gt;"",H26,0)</f>
        <v>5020</v>
      </c>
      <c r="J26" s="705">
        <f t="shared" ref="J26" si="34">H26*13</f>
        <v>65260</v>
      </c>
      <c r="K26" s="357">
        <f t="shared" ref="K26" si="35">IF(G26&lt;&gt;"",20000,0)</f>
        <v>20000</v>
      </c>
      <c r="L26" s="357">
        <f>IF(G26&lt;&gt;"",K26*J26*G26/1000,"")</f>
        <v>18272800</v>
      </c>
      <c r="M26" s="559"/>
      <c r="N26" s="489">
        <v>14</v>
      </c>
      <c r="O26" s="355">
        <v>43157</v>
      </c>
      <c r="P26" s="355">
        <v>43181</v>
      </c>
      <c r="Q26" s="253" t="s">
        <v>1242</v>
      </c>
      <c r="R26" s="310">
        <v>1100</v>
      </c>
      <c r="S26" s="310">
        <v>13</v>
      </c>
      <c r="T26" s="758">
        <f t="shared" si="9"/>
        <v>14300</v>
      </c>
      <c r="U26" s="310">
        <v>49000</v>
      </c>
      <c r="V26" s="768">
        <f t="shared" si="10"/>
        <v>700700000</v>
      </c>
      <c r="W26" s="253"/>
    </row>
    <row r="27" spans="1:23" s="335" customFormat="1" ht="15" customHeight="1">
      <c r="A27" s="559"/>
      <c r="B27" s="489">
        <v>11</v>
      </c>
      <c r="C27" s="355">
        <v>42972</v>
      </c>
      <c r="D27" s="355">
        <v>43029</v>
      </c>
      <c r="E27" s="513"/>
      <c r="F27" s="706" t="s">
        <v>1171</v>
      </c>
      <c r="G27" s="707">
        <f t="shared" ref="G27" si="36">IF(D27&lt;&gt;"",D27-C27+1,IF(E27&lt;&gt;"",E27-C27+1,""))</f>
        <v>58</v>
      </c>
      <c r="H27" s="704">
        <v>3109</v>
      </c>
      <c r="I27" s="704">
        <f t="shared" si="11"/>
        <v>3109</v>
      </c>
      <c r="J27" s="705">
        <f t="shared" ref="J27" si="37">H27*13</f>
        <v>40417</v>
      </c>
      <c r="K27" s="357">
        <f t="shared" ref="K27" si="38">IF(G27&lt;&gt;"",20000,0)</f>
        <v>20000</v>
      </c>
      <c r="L27" s="357">
        <f t="shared" ref="L27" si="39">IF(G27&lt;&gt;"",K27*J27*G27/1000,"")</f>
        <v>46883720</v>
      </c>
      <c r="M27" s="559"/>
      <c r="N27" s="489">
        <v>15</v>
      </c>
      <c r="O27" s="355">
        <v>43158</v>
      </c>
      <c r="P27" s="355">
        <v>43173</v>
      </c>
      <c r="Q27" s="253" t="s">
        <v>1243</v>
      </c>
      <c r="R27" s="310">
        <v>1379</v>
      </c>
      <c r="S27" s="310">
        <v>14</v>
      </c>
      <c r="T27" s="758">
        <f t="shared" si="9"/>
        <v>19306</v>
      </c>
      <c r="U27" s="310">
        <v>43000</v>
      </c>
      <c r="V27" s="768">
        <f t="shared" si="10"/>
        <v>830158000</v>
      </c>
      <c r="W27" s="816"/>
    </row>
    <row r="28" spans="1:23" s="335" customFormat="1" ht="15" customHeight="1">
      <c r="A28" s="559"/>
      <c r="B28" s="718">
        <v>12</v>
      </c>
      <c r="C28" s="719">
        <v>42972</v>
      </c>
      <c r="D28" s="719">
        <v>43002</v>
      </c>
      <c r="E28" s="720"/>
      <c r="F28" s="721" t="s">
        <v>1172</v>
      </c>
      <c r="G28" s="722">
        <f t="shared" si="26"/>
        <v>31</v>
      </c>
      <c r="H28" s="728">
        <v>10</v>
      </c>
      <c r="I28" s="728">
        <f t="shared" si="11"/>
        <v>10</v>
      </c>
      <c r="J28" s="608">
        <f t="shared" si="7"/>
        <v>130</v>
      </c>
      <c r="K28" s="723">
        <f t="shared" si="8"/>
        <v>20000</v>
      </c>
      <c r="L28" s="723">
        <f t="shared" si="27"/>
        <v>80600</v>
      </c>
      <c r="M28" s="559"/>
      <c r="N28" s="489">
        <v>16</v>
      </c>
      <c r="O28" s="355">
        <v>43158</v>
      </c>
      <c r="P28" s="355">
        <v>43173</v>
      </c>
      <c r="Q28" s="253" t="s">
        <v>1243</v>
      </c>
      <c r="R28" s="310">
        <v>1</v>
      </c>
      <c r="S28" s="310">
        <v>11</v>
      </c>
      <c r="T28" s="758">
        <f t="shared" si="9"/>
        <v>11</v>
      </c>
      <c r="U28" s="310">
        <v>43000</v>
      </c>
      <c r="V28" s="768">
        <f t="shared" si="10"/>
        <v>473000</v>
      </c>
      <c r="W28" s="817"/>
    </row>
    <row r="29" spans="1:23" s="335" customFormat="1" ht="15" customHeight="1">
      <c r="A29" s="559"/>
      <c r="B29" s="489">
        <v>13</v>
      </c>
      <c r="C29" s="355">
        <v>42972</v>
      </c>
      <c r="D29" s="355">
        <v>43019</v>
      </c>
      <c r="E29" s="513"/>
      <c r="F29" s="812" t="s">
        <v>1173</v>
      </c>
      <c r="G29" s="707">
        <f t="shared" si="26"/>
        <v>48</v>
      </c>
      <c r="H29" s="704">
        <v>2030</v>
      </c>
      <c r="I29" s="704">
        <f t="shared" si="11"/>
        <v>2030</v>
      </c>
      <c r="J29" s="705">
        <f t="shared" si="7"/>
        <v>26390</v>
      </c>
      <c r="K29" s="357">
        <f t="shared" si="8"/>
        <v>20000</v>
      </c>
      <c r="L29" s="357">
        <f t="shared" si="27"/>
        <v>25334400</v>
      </c>
      <c r="M29" s="559"/>
      <c r="N29" s="489">
        <v>17</v>
      </c>
      <c r="O29" s="355">
        <v>43158</v>
      </c>
      <c r="P29" s="355">
        <v>43173</v>
      </c>
      <c r="Q29" s="253" t="s">
        <v>1243</v>
      </c>
      <c r="R29" s="310">
        <v>1939</v>
      </c>
      <c r="S29" s="310">
        <v>14</v>
      </c>
      <c r="T29" s="758">
        <f t="shared" si="9"/>
        <v>27146</v>
      </c>
      <c r="U29" s="310">
        <v>43000</v>
      </c>
      <c r="V29" s="768">
        <f t="shared" si="10"/>
        <v>1167278000</v>
      </c>
      <c r="W29" s="817"/>
    </row>
    <row r="30" spans="1:23" s="335" customFormat="1" ht="15" customHeight="1">
      <c r="A30" s="559"/>
      <c r="B30" s="489">
        <v>14</v>
      </c>
      <c r="C30" s="355">
        <v>42972</v>
      </c>
      <c r="D30" s="355">
        <v>43020</v>
      </c>
      <c r="E30" s="513"/>
      <c r="F30" s="810"/>
      <c r="G30" s="707">
        <f t="shared" si="26"/>
        <v>49</v>
      </c>
      <c r="H30" s="704">
        <v>2030</v>
      </c>
      <c r="I30" s="704">
        <f t="shared" si="11"/>
        <v>2030</v>
      </c>
      <c r="J30" s="705">
        <f t="shared" si="7"/>
        <v>26390</v>
      </c>
      <c r="K30" s="357">
        <f t="shared" si="8"/>
        <v>20000</v>
      </c>
      <c r="L30" s="357">
        <f t="shared" si="27"/>
        <v>25862200</v>
      </c>
      <c r="M30" s="559"/>
      <c r="N30" s="489">
        <v>18</v>
      </c>
      <c r="O30" s="355">
        <v>43158</v>
      </c>
      <c r="P30" s="355">
        <v>43173</v>
      </c>
      <c r="Q30" s="253" t="s">
        <v>1243</v>
      </c>
      <c r="R30" s="310">
        <v>1</v>
      </c>
      <c r="S30" s="310">
        <v>11.5</v>
      </c>
      <c r="T30" s="758">
        <f t="shared" si="9"/>
        <v>11.5</v>
      </c>
      <c r="U30" s="310">
        <v>43000</v>
      </c>
      <c r="V30" s="768">
        <f t="shared" si="10"/>
        <v>494500</v>
      </c>
      <c r="W30" s="817"/>
    </row>
    <row r="31" spans="1:23" s="335" customFormat="1" ht="15" customHeight="1">
      <c r="A31" s="559"/>
      <c r="B31" s="718">
        <v>15</v>
      </c>
      <c r="C31" s="719">
        <v>42972</v>
      </c>
      <c r="D31" s="719">
        <v>43064</v>
      </c>
      <c r="E31" s="720"/>
      <c r="F31" s="810"/>
      <c r="G31" s="722">
        <f t="shared" si="26"/>
        <v>93</v>
      </c>
      <c r="H31" s="714">
        <v>342</v>
      </c>
      <c r="I31" s="714">
        <f t="shared" si="11"/>
        <v>342</v>
      </c>
      <c r="J31" s="608">
        <f t="shared" ref="J31:J33" si="40">H31*13</f>
        <v>4446</v>
      </c>
      <c r="K31" s="723">
        <f t="shared" ref="K31" si="41">IF(G31&lt;&gt;"",20000,0)</f>
        <v>20000</v>
      </c>
      <c r="L31" s="723">
        <f t="shared" ref="L31:L33" si="42">IF(G31&lt;&gt;"",K31*J31*G31/1000,"")</f>
        <v>8269560</v>
      </c>
      <c r="M31" s="559"/>
      <c r="N31" s="489">
        <v>19</v>
      </c>
      <c r="O31" s="355">
        <v>43160</v>
      </c>
      <c r="P31" s="355">
        <v>43173</v>
      </c>
      <c r="Q31" s="253" t="s">
        <v>1243</v>
      </c>
      <c r="R31" s="310">
        <v>850</v>
      </c>
      <c r="S31" s="310">
        <v>20</v>
      </c>
      <c r="T31" s="758">
        <f t="shared" si="9"/>
        <v>17000</v>
      </c>
      <c r="U31" s="310">
        <v>43000</v>
      </c>
      <c r="V31" s="768">
        <f t="shared" si="10"/>
        <v>731000000</v>
      </c>
      <c r="W31" s="818"/>
    </row>
    <row r="32" spans="1:23" s="335" customFormat="1" ht="15" customHeight="1">
      <c r="A32" s="559"/>
      <c r="B32" s="489">
        <v>16</v>
      </c>
      <c r="C32" s="355">
        <v>42979</v>
      </c>
      <c r="D32" s="355">
        <v>43055</v>
      </c>
      <c r="E32" s="513"/>
      <c r="F32" s="811"/>
      <c r="G32" s="707">
        <f t="shared" ref="G32" si="43">IF(D32&lt;&gt;"",D32-C32+1,IF(E32&lt;&gt;"",E32-C32+1,""))</f>
        <v>77</v>
      </c>
      <c r="H32" s="704">
        <v>2030</v>
      </c>
      <c r="I32" s="704">
        <f t="shared" ref="I32" si="44">IF(D32&lt;&gt;"",H32,0)</f>
        <v>2030</v>
      </c>
      <c r="J32" s="705">
        <f t="shared" ref="J32" si="45">H32*13</f>
        <v>26390</v>
      </c>
      <c r="K32" s="357">
        <f t="shared" ref="K32" si="46">IF(G32&lt;&gt;"",20000,0)</f>
        <v>20000</v>
      </c>
      <c r="L32" s="357">
        <f t="shared" ref="L32" si="47">IF(G32&lt;&gt;"",K32*J32*G32/1000,"")</f>
        <v>40640600</v>
      </c>
      <c r="M32" s="559"/>
      <c r="N32" s="489">
        <v>20</v>
      </c>
      <c r="O32" s="355">
        <v>43168</v>
      </c>
      <c r="P32" s="513">
        <v>43172</v>
      </c>
      <c r="Q32" s="253" t="s">
        <v>1242</v>
      </c>
      <c r="R32" s="310">
        <v>2030</v>
      </c>
      <c r="S32" s="310">
        <v>13</v>
      </c>
      <c r="T32" s="758">
        <f t="shared" si="9"/>
        <v>26390</v>
      </c>
      <c r="U32" s="310">
        <v>49000</v>
      </c>
      <c r="V32" s="768">
        <f t="shared" si="10"/>
        <v>1293110000</v>
      </c>
      <c r="W32" s="253"/>
    </row>
    <row r="33" spans="1:23" s="335" customFormat="1" ht="15" customHeight="1">
      <c r="A33" s="559"/>
      <c r="B33" s="489">
        <v>17</v>
      </c>
      <c r="C33" s="355">
        <v>43019</v>
      </c>
      <c r="D33" s="355">
        <v>43055</v>
      </c>
      <c r="E33" s="513"/>
      <c r="F33" s="812" t="s">
        <v>1192</v>
      </c>
      <c r="G33" s="707">
        <f t="shared" si="26"/>
        <v>37</v>
      </c>
      <c r="H33" s="704">
        <v>2030</v>
      </c>
      <c r="I33" s="704">
        <f t="shared" si="11"/>
        <v>2030</v>
      </c>
      <c r="J33" s="705">
        <f t="shared" si="40"/>
        <v>26390</v>
      </c>
      <c r="K33" s="357">
        <f t="shared" ref="K33:K35" si="48">IF(G33&lt;&gt;"",14000,0)</f>
        <v>14000</v>
      </c>
      <c r="L33" s="357">
        <f t="shared" si="42"/>
        <v>13670020</v>
      </c>
      <c r="M33" s="559"/>
      <c r="N33" s="489">
        <v>21</v>
      </c>
      <c r="O33" s="355">
        <v>43169</v>
      </c>
      <c r="P33" s="513">
        <v>43172</v>
      </c>
      <c r="Q33" s="253" t="s">
        <v>1242</v>
      </c>
      <c r="R33" s="310">
        <v>2030</v>
      </c>
      <c r="S33" s="310">
        <v>13</v>
      </c>
      <c r="T33" s="758">
        <f t="shared" si="9"/>
        <v>26390</v>
      </c>
      <c r="U33" s="310">
        <v>49000</v>
      </c>
      <c r="V33" s="768">
        <f t="shared" si="10"/>
        <v>1293110000</v>
      </c>
      <c r="W33" s="253"/>
    </row>
    <row r="34" spans="1:23" s="335" customFormat="1" ht="15" customHeight="1">
      <c r="A34" s="559"/>
      <c r="B34" s="489">
        <v>18</v>
      </c>
      <c r="C34" s="355">
        <v>43020</v>
      </c>
      <c r="D34" s="355">
        <v>43055</v>
      </c>
      <c r="E34" s="513"/>
      <c r="F34" s="810"/>
      <c r="G34" s="707">
        <f>IF(D34&lt;&gt;"",D34-C34+1,IF(E34&lt;&gt;"",E34-C34+1,""))</f>
        <v>36</v>
      </c>
      <c r="H34" s="704">
        <v>2030</v>
      </c>
      <c r="I34" s="704">
        <f t="shared" si="11"/>
        <v>2030</v>
      </c>
      <c r="J34" s="705">
        <f>H34*13</f>
        <v>26390</v>
      </c>
      <c r="K34" s="357">
        <f t="shared" si="48"/>
        <v>14000</v>
      </c>
      <c r="L34" s="357">
        <f>IF(G34&lt;&gt;"",K34*J34*G34/1000,"")</f>
        <v>13300560</v>
      </c>
      <c r="M34" s="559"/>
      <c r="N34" s="489">
        <v>22</v>
      </c>
      <c r="O34" s="355">
        <v>43170</v>
      </c>
      <c r="P34" s="355">
        <v>43173</v>
      </c>
      <c r="Q34" s="253" t="s">
        <v>1242</v>
      </c>
      <c r="R34" s="310">
        <v>2030</v>
      </c>
      <c r="S34" s="310">
        <v>13</v>
      </c>
      <c r="T34" s="758">
        <f t="shared" si="9"/>
        <v>26390</v>
      </c>
      <c r="U34" s="310">
        <v>49000</v>
      </c>
      <c r="V34" s="768">
        <f t="shared" si="10"/>
        <v>1293110000</v>
      </c>
      <c r="W34" s="253"/>
    </row>
    <row r="35" spans="1:23" s="335" customFormat="1" ht="15" customHeight="1">
      <c r="A35" s="559"/>
      <c r="B35" s="489">
        <v>19</v>
      </c>
      <c r="C35" s="355">
        <v>43055</v>
      </c>
      <c r="D35" s="355">
        <v>43083</v>
      </c>
      <c r="E35" s="513"/>
      <c r="F35" s="810"/>
      <c r="G35" s="707">
        <f>IF(D35&lt;&gt;"",D35-C35+1,IF(E35&lt;&gt;"",E35-C35+1,""))</f>
        <v>29</v>
      </c>
      <c r="H35" s="704">
        <v>2030</v>
      </c>
      <c r="I35" s="704">
        <f t="shared" si="11"/>
        <v>2030</v>
      </c>
      <c r="J35" s="705">
        <f>H35*13</f>
        <v>26390</v>
      </c>
      <c r="K35" s="357">
        <f t="shared" si="48"/>
        <v>14000</v>
      </c>
      <c r="L35" s="357">
        <f>IF(G35&lt;&gt;"",K35*J35*G35/1000,"")</f>
        <v>10714340</v>
      </c>
      <c r="M35" s="559"/>
      <c r="N35" s="489">
        <v>23</v>
      </c>
      <c r="O35" s="355">
        <v>43170</v>
      </c>
      <c r="P35" s="355">
        <v>43173</v>
      </c>
      <c r="Q35" s="253" t="s">
        <v>1242</v>
      </c>
      <c r="R35" s="310">
        <v>2030</v>
      </c>
      <c r="S35" s="310">
        <v>13</v>
      </c>
      <c r="T35" s="758">
        <f t="shared" si="9"/>
        <v>26390</v>
      </c>
      <c r="U35" s="310">
        <v>49000</v>
      </c>
      <c r="V35" s="768">
        <f t="shared" si="10"/>
        <v>1293110000</v>
      </c>
      <c r="W35" s="253"/>
    </row>
    <row r="36" spans="1:23" s="335" customFormat="1" ht="15" customHeight="1">
      <c r="A36" s="559"/>
      <c r="B36" s="489"/>
      <c r="C36" s="355"/>
      <c r="D36" s="355"/>
      <c r="E36" s="513"/>
      <c r="F36" s="706"/>
      <c r="G36" s="707"/>
      <c r="H36" s="704"/>
      <c r="I36" s="704"/>
      <c r="J36" s="705"/>
      <c r="K36" s="357"/>
      <c r="L36" s="357"/>
      <c r="M36" s="559"/>
      <c r="N36" s="489">
        <v>24</v>
      </c>
      <c r="O36" s="355">
        <v>43171</v>
      </c>
      <c r="P36" s="355">
        <v>43180</v>
      </c>
      <c r="Q36" s="253" t="s">
        <v>1242</v>
      </c>
      <c r="R36" s="310">
        <v>2030</v>
      </c>
      <c r="S36" s="310">
        <v>13</v>
      </c>
      <c r="T36" s="758">
        <f t="shared" si="9"/>
        <v>26390</v>
      </c>
      <c r="U36" s="310">
        <v>49000</v>
      </c>
      <c r="V36" s="768">
        <f t="shared" si="10"/>
        <v>1293110000</v>
      </c>
      <c r="W36" s="253"/>
    </row>
    <row r="37" spans="1:23" s="335" customFormat="1" ht="15" customHeight="1">
      <c r="A37" s="559"/>
      <c r="B37" s="414"/>
      <c r="C37" s="414"/>
      <c r="D37" s="414"/>
      <c r="E37" s="414"/>
      <c r="F37" s="414" t="s">
        <v>19</v>
      </c>
      <c r="G37" s="414"/>
      <c r="H37" s="413">
        <f>SUM(H17:H36)</f>
        <v>28896</v>
      </c>
      <c r="I37" s="413">
        <f>SUM(I17:I36)</f>
        <v>28896</v>
      </c>
      <c r="J37" s="413">
        <f>SUM(J17:J36)</f>
        <v>375648</v>
      </c>
      <c r="K37" s="413"/>
      <c r="L37" s="415">
        <f>SUM(L17:L36)</f>
        <v>380311620</v>
      </c>
      <c r="M37" s="559"/>
      <c r="N37" s="489">
        <v>25</v>
      </c>
      <c r="O37" s="355">
        <v>43173</v>
      </c>
      <c r="P37" s="355">
        <v>43181</v>
      </c>
      <c r="Q37" s="253" t="s">
        <v>1242</v>
      </c>
      <c r="R37" s="310">
        <v>500</v>
      </c>
      <c r="S37" s="310">
        <v>13</v>
      </c>
      <c r="T37" s="758">
        <f t="shared" si="9"/>
        <v>6500</v>
      </c>
      <c r="U37" s="310">
        <v>47500</v>
      </c>
      <c r="V37" s="768">
        <f t="shared" si="10"/>
        <v>308750000</v>
      </c>
      <c r="W37" s="253"/>
    </row>
    <row r="38" spans="1:23" s="335" customFormat="1" ht="15" customHeight="1">
      <c r="A38" s="559"/>
      <c r="B38" s="625"/>
      <c r="C38" s="625"/>
      <c r="D38" s="625"/>
      <c r="E38" s="625"/>
      <c r="F38" s="625"/>
      <c r="G38" s="625"/>
      <c r="H38" s="626"/>
      <c r="I38" s="626"/>
      <c r="J38" s="626"/>
      <c r="K38" s="626"/>
      <c r="L38" s="627"/>
      <c r="M38" s="559"/>
      <c r="N38" s="489">
        <v>26</v>
      </c>
      <c r="O38" s="355">
        <v>43180</v>
      </c>
      <c r="P38" s="355">
        <v>43181</v>
      </c>
      <c r="Q38" s="253" t="s">
        <v>1242</v>
      </c>
      <c r="R38" s="310">
        <f>430</f>
        <v>430</v>
      </c>
      <c r="S38" s="310">
        <v>13</v>
      </c>
      <c r="T38" s="758">
        <f t="shared" si="9"/>
        <v>5590</v>
      </c>
      <c r="U38" s="310">
        <v>47500</v>
      </c>
      <c r="V38" s="768">
        <f t="shared" si="10"/>
        <v>265525000</v>
      </c>
      <c r="W38" s="253"/>
    </row>
    <row r="39" spans="1:23" s="534" customFormat="1" ht="15" customHeight="1">
      <c r="A39" s="560"/>
      <c r="B39" s="629"/>
      <c r="C39" s="629"/>
      <c r="D39" s="629"/>
      <c r="E39" s="629" t="s">
        <v>1022</v>
      </c>
      <c r="F39" s="629"/>
      <c r="G39" s="629"/>
      <c r="H39" s="804">
        <f>H37-I37</f>
        <v>0</v>
      </c>
      <c r="I39" s="804"/>
      <c r="J39" s="630"/>
      <c r="K39" s="630"/>
      <c r="L39" s="631"/>
      <c r="M39" s="560"/>
      <c r="N39" s="359"/>
      <c r="O39" s="355"/>
      <c r="P39" s="724"/>
      <c r="Q39" s="761"/>
      <c r="R39" s="763"/>
      <c r="S39" s="763"/>
      <c r="T39" s="758">
        <f t="shared" ref="T39" si="49">R39*S39</f>
        <v>0</v>
      </c>
      <c r="U39" s="763"/>
      <c r="V39" s="761"/>
      <c r="W39" s="761"/>
    </row>
    <row r="40" spans="1:23" s="335" customFormat="1" ht="15" customHeight="1">
      <c r="A40" s="559"/>
      <c r="B40" s="334"/>
      <c r="C40" s="334"/>
      <c r="D40" s="334"/>
      <c r="E40" s="334"/>
      <c r="G40" s="514"/>
      <c r="H40" s="628" t="s">
        <v>899</v>
      </c>
      <c r="I40" s="628"/>
      <c r="L40" s="537">
        <f>(J37-J10)*15</f>
        <v>3092310</v>
      </c>
      <c r="M40" s="559"/>
      <c r="N40" s="766"/>
      <c r="O40" s="759"/>
      <c r="P40" s="759"/>
      <c r="Q40" s="414" t="s">
        <v>19</v>
      </c>
      <c r="R40" s="413">
        <f>SUM(R17:R39)</f>
        <v>28515</v>
      </c>
      <c r="S40" s="413"/>
      <c r="T40" s="764">
        <f>SUM(T17:T39)</f>
        <v>379959.5</v>
      </c>
      <c r="U40" s="764"/>
      <c r="V40" s="413">
        <f>SUM(V17:V39)</f>
        <v>18274088500</v>
      </c>
      <c r="W40" s="759"/>
    </row>
    <row r="41" spans="1:23" s="335" customFormat="1" ht="15" customHeight="1">
      <c r="A41" s="559"/>
      <c r="B41" s="334"/>
      <c r="C41" s="334"/>
      <c r="D41" s="334"/>
      <c r="E41" s="334"/>
      <c r="G41" s="582"/>
      <c r="H41" s="582" t="s">
        <v>1160</v>
      </c>
      <c r="I41" s="560"/>
      <c r="J41" s="560"/>
      <c r="K41" s="560"/>
      <c r="L41" s="688">
        <f>(8*3*200000+4000000)*2</f>
        <v>17600000</v>
      </c>
      <c r="M41" s="559"/>
      <c r="N41" s="410"/>
      <c r="O41" s="799"/>
      <c r="P41" s="799"/>
      <c r="Q41" s="625"/>
      <c r="R41" s="626"/>
      <c r="S41" s="626"/>
      <c r="T41" s="938"/>
      <c r="U41" s="938"/>
      <c r="V41" s="626"/>
      <c r="W41" s="799"/>
    </row>
    <row r="42" spans="1:23" s="335" customFormat="1" ht="15" customHeight="1">
      <c r="A42" s="559"/>
      <c r="B42" s="334"/>
      <c r="C42" s="334"/>
      <c r="D42" s="334"/>
      <c r="E42" s="334"/>
      <c r="G42" s="582"/>
      <c r="H42" s="582" t="s">
        <v>1163</v>
      </c>
      <c r="I42" s="560"/>
      <c r="J42" s="560"/>
      <c r="K42" s="560"/>
      <c r="L42" s="688">
        <f>(120*8500)*2</f>
        <v>2040000</v>
      </c>
      <c r="M42" s="559"/>
      <c r="R42" s="534" t="s">
        <v>1300</v>
      </c>
      <c r="V42" s="537">
        <f>L67</f>
        <v>613855570</v>
      </c>
    </row>
    <row r="43" spans="1:23" s="682" customFormat="1" ht="15" customHeight="1">
      <c r="A43" s="681"/>
      <c r="B43" s="334"/>
      <c r="C43" s="334"/>
      <c r="D43" s="334"/>
      <c r="E43" s="334"/>
      <c r="F43" s="334"/>
      <c r="G43" s="334"/>
      <c r="H43" s="334"/>
      <c r="I43" s="334"/>
      <c r="J43" s="335"/>
      <c r="K43" s="335"/>
      <c r="L43" s="558"/>
      <c r="M43" s="681"/>
      <c r="N43" s="534"/>
      <c r="O43" s="534"/>
      <c r="P43" s="534"/>
      <c r="Q43" s="534"/>
      <c r="R43" s="560"/>
      <c r="S43" s="534"/>
      <c r="T43" s="534"/>
      <c r="U43" s="534"/>
      <c r="V43" s="537"/>
      <c r="W43" s="534"/>
    </row>
    <row r="44" spans="1:23" s="335" customFormat="1" ht="15" customHeight="1">
      <c r="A44" s="559"/>
      <c r="B44" s="560"/>
      <c r="C44" s="560"/>
      <c r="D44" s="560"/>
      <c r="E44" s="560"/>
      <c r="F44" s="560"/>
      <c r="G44" s="560"/>
      <c r="H44" s="560" t="s">
        <v>900</v>
      </c>
      <c r="I44" s="560"/>
      <c r="J44" s="560"/>
      <c r="K44" s="560"/>
      <c r="L44" s="561">
        <f>L37+SUM(L40:L43)</f>
        <v>403043930</v>
      </c>
      <c r="M44" s="559"/>
      <c r="N44" s="534"/>
      <c r="O44" s="534"/>
      <c r="P44" s="534"/>
      <c r="Q44" s="534"/>
      <c r="R44" s="689" t="s">
        <v>1239</v>
      </c>
      <c r="S44" s="560"/>
      <c r="T44" s="560"/>
      <c r="U44" s="560"/>
      <c r="V44" s="688">
        <v>2000000000</v>
      </c>
      <c r="W44" s="534"/>
    </row>
    <row r="45" spans="1:23" s="335" customFormat="1" ht="15" customHeight="1">
      <c r="A45" s="559"/>
      <c r="B45"/>
      <c r="C45"/>
      <c r="D45"/>
      <c r="E45"/>
      <c r="F45"/>
      <c r="G45"/>
      <c r="H45" s="681" t="s">
        <v>1155</v>
      </c>
      <c r="I45"/>
      <c r="J45"/>
      <c r="K45"/>
      <c r="L45" s="683">
        <v>100000000</v>
      </c>
      <c r="M45" s="559"/>
      <c r="R45" s="689" t="s">
        <v>1240</v>
      </c>
      <c r="S45" s="560"/>
      <c r="T45" s="560"/>
      <c r="U45" s="560"/>
      <c r="V45" s="688">
        <v>1200000000</v>
      </c>
      <c r="W45" s="581"/>
    </row>
    <row r="46" spans="1:23" s="682" customFormat="1" ht="15" customHeight="1">
      <c r="A46" s="681"/>
      <c r="B46" s="802"/>
      <c r="C46" s="802"/>
      <c r="D46" s="802"/>
      <c r="E46" s="802"/>
      <c r="F46" s="802"/>
      <c r="G46" s="802"/>
      <c r="H46" s="560" t="s">
        <v>1291</v>
      </c>
      <c r="I46" s="560"/>
      <c r="J46" s="560"/>
      <c r="K46" s="560"/>
      <c r="L46" s="769">
        <f>L44-L45</f>
        <v>303043930</v>
      </c>
      <c r="M46" s="681"/>
      <c r="N46" s="335"/>
      <c r="O46" s="335"/>
      <c r="P46" s="335"/>
      <c r="Q46" s="335"/>
      <c r="R46" s="689" t="s">
        <v>1265</v>
      </c>
      <c r="S46" s="560"/>
      <c r="T46" s="560"/>
      <c r="U46" s="560"/>
      <c r="V46" s="688">
        <v>1000000000</v>
      </c>
      <c r="W46" s="306"/>
    </row>
    <row r="47" spans="1:23" s="682" customFormat="1" ht="15" customHeight="1">
      <c r="A47" s="681"/>
      <c r="B47"/>
      <c r="C47"/>
      <c r="D47"/>
      <c r="E47"/>
      <c r="F47"/>
      <c r="G47"/>
      <c r="H47"/>
      <c r="I47"/>
      <c r="J47"/>
      <c r="K47"/>
      <c r="L47"/>
      <c r="M47" s="681"/>
      <c r="O47" s="687"/>
      <c r="P47" s="687"/>
      <c r="Q47" s="786"/>
      <c r="R47" s="689" t="s">
        <v>1263</v>
      </c>
      <c r="S47" s="560"/>
      <c r="T47" s="560"/>
      <c r="U47" s="560"/>
      <c r="V47" s="688">
        <v>4000000000</v>
      </c>
      <c r="W47" s="687"/>
    </row>
    <row r="48" spans="1:23" s="682" customFormat="1" ht="15" customHeight="1">
      <c r="A48" s="681"/>
      <c r="B48" s="334"/>
      <c r="C48" s="334"/>
      <c r="D48" s="334"/>
      <c r="E48" s="334"/>
      <c r="F48" s="335"/>
      <c r="G48" s="582"/>
      <c r="H48" s="582" t="s">
        <v>1161</v>
      </c>
      <c r="I48" s="560"/>
      <c r="J48" s="560"/>
      <c r="K48" s="560"/>
      <c r="L48" s="688">
        <v>2200000000</v>
      </c>
      <c r="M48" s="681"/>
      <c r="O48" s="687"/>
      <c r="P48" s="687"/>
      <c r="Q48" s="786"/>
      <c r="R48" s="689" t="s">
        <v>1274</v>
      </c>
      <c r="S48" s="560"/>
      <c r="T48" s="560"/>
      <c r="U48" s="560"/>
      <c r="V48" s="688">
        <v>7300000000</v>
      </c>
      <c r="W48" s="687"/>
    </row>
    <row r="49" spans="1:23" s="682" customFormat="1" ht="15" customHeight="1">
      <c r="A49" s="681"/>
      <c r="B49" s="334"/>
      <c r="C49" s="334"/>
      <c r="D49" s="334"/>
      <c r="E49" s="334"/>
      <c r="F49" s="352"/>
      <c r="G49" s="582"/>
      <c r="H49" s="689" t="s">
        <v>1162</v>
      </c>
      <c r="I49" s="560"/>
      <c r="J49" s="560"/>
      <c r="K49" s="560"/>
      <c r="L49" s="688">
        <v>2000000000</v>
      </c>
      <c r="M49" s="681"/>
      <c r="N49"/>
      <c r="O49"/>
      <c r="P49"/>
      <c r="Q49" s="786"/>
      <c r="R49" s="786"/>
      <c r="S49" s="786"/>
      <c r="T49" s="786"/>
      <c r="U49" s="786"/>
      <c r="V49" s="786"/>
      <c r="W49" s="786"/>
    </row>
    <row r="50" spans="1:23" s="682" customFormat="1" ht="15" customHeight="1">
      <c r="A50" s="681"/>
      <c r="B50" s="334"/>
      <c r="C50" s="334"/>
      <c r="D50" s="334"/>
      <c r="E50" s="334"/>
      <c r="F50" s="352"/>
      <c r="G50" s="582"/>
      <c r="H50" s="689" t="s">
        <v>1169</v>
      </c>
      <c r="I50" s="560"/>
      <c r="J50" s="560"/>
      <c r="K50" s="560"/>
      <c r="L50" s="688">
        <v>800000000</v>
      </c>
      <c r="M50" s="681"/>
      <c r="N50" s="335"/>
      <c r="O50" s="335"/>
      <c r="P50" s="335"/>
      <c r="Q50" s="335"/>
      <c r="R50" s="560" t="s">
        <v>900</v>
      </c>
      <c r="S50" s="560"/>
      <c r="T50" s="560"/>
      <c r="U50" s="560"/>
      <c r="V50" s="769">
        <f>SUM(V44:V49)</f>
        <v>15500000000</v>
      </c>
      <c r="W50" s="306"/>
    </row>
    <row r="51" spans="1:23" ht="15" customHeight="1">
      <c r="B51" s="334"/>
      <c r="C51" s="334"/>
      <c r="D51" s="334"/>
      <c r="E51" s="334"/>
      <c r="F51" s="335"/>
      <c r="G51" s="582"/>
      <c r="H51" s="582" t="s">
        <v>1198</v>
      </c>
      <c r="I51" s="560"/>
      <c r="J51" s="560"/>
      <c r="K51" s="560"/>
      <c r="L51" s="688">
        <v>2000000000</v>
      </c>
      <c r="N51" s="335"/>
      <c r="O51" s="335"/>
      <c r="P51" s="335"/>
      <c r="Q51" s="335"/>
      <c r="R51" s="560"/>
      <c r="S51" s="560"/>
      <c r="T51" s="560"/>
      <c r="U51" s="560"/>
      <c r="V51" s="784"/>
      <c r="W51" s="306"/>
    </row>
    <row r="52" spans="1:23" ht="15" customHeight="1">
      <c r="B52" s="334"/>
      <c r="C52" s="334"/>
      <c r="D52" s="334"/>
      <c r="E52" s="334"/>
      <c r="F52" s="352"/>
      <c r="G52" s="582"/>
      <c r="H52" s="689" t="s">
        <v>1207</v>
      </c>
      <c r="I52" s="560"/>
      <c r="J52" s="560"/>
      <c r="K52" s="560"/>
      <c r="L52" s="688">
        <v>2300000000</v>
      </c>
      <c r="N52" s="682"/>
      <c r="O52" s="682"/>
      <c r="P52" s="682"/>
      <c r="Q52" s="687"/>
      <c r="R52" s="560" t="s">
        <v>1199</v>
      </c>
      <c r="S52" s="534"/>
      <c r="T52" s="534"/>
      <c r="U52" s="534"/>
      <c r="V52" s="537">
        <f>V40+V42-V50</f>
        <v>3387944070</v>
      </c>
      <c r="W52" s="687"/>
    </row>
    <row r="53" spans="1:23" ht="15" customHeight="1">
      <c r="B53" s="334"/>
      <c r="C53" s="334"/>
      <c r="D53" s="334"/>
      <c r="E53" s="334"/>
      <c r="F53" s="352"/>
      <c r="G53" s="582"/>
      <c r="H53" s="689" t="s">
        <v>1213</v>
      </c>
      <c r="I53" s="560"/>
      <c r="J53" s="560"/>
      <c r="K53" s="560"/>
      <c r="L53" s="688">
        <v>2000000000</v>
      </c>
      <c r="N53" s="335"/>
      <c r="O53" s="335"/>
      <c r="P53" s="335"/>
      <c r="Q53" s="799"/>
      <c r="R53" s="799"/>
      <c r="S53" s="799"/>
      <c r="T53" s="799"/>
      <c r="U53" s="799"/>
      <c r="V53" s="799"/>
      <c r="W53" s="799"/>
    </row>
    <row r="54" spans="1:23" s="335" customFormat="1" ht="15" customHeight="1">
      <c r="A54" s="559"/>
      <c r="B54"/>
      <c r="C54"/>
      <c r="D54"/>
      <c r="E54"/>
      <c r="F54"/>
      <c r="G54"/>
      <c r="H54"/>
      <c r="I54"/>
      <c r="J54"/>
      <c r="K54"/>
      <c r="L54"/>
      <c r="M54" s="559"/>
      <c r="Q54" s="799"/>
      <c r="R54" s="800"/>
      <c r="S54" s="800"/>
      <c r="T54" s="800"/>
      <c r="U54" s="800"/>
      <c r="V54" s="784"/>
      <c r="W54" s="784"/>
    </row>
    <row r="55" spans="1:23" s="335" customFormat="1" ht="15" customHeight="1">
      <c r="A55" s="559"/>
      <c r="B55"/>
      <c r="C55"/>
      <c r="D55"/>
      <c r="E55"/>
      <c r="F55"/>
      <c r="G55"/>
      <c r="H55" s="560" t="s">
        <v>900</v>
      </c>
      <c r="I55" s="560"/>
      <c r="J55" s="560"/>
      <c r="K55" s="560"/>
      <c r="L55" s="769">
        <f>SUM(L48:L54)</f>
        <v>11300000000</v>
      </c>
      <c r="M55" s="559"/>
      <c r="N55" s="682"/>
      <c r="O55" s="687"/>
      <c r="P55" s="687"/>
      <c r="Q55" s="687"/>
      <c r="R55" s="800"/>
      <c r="S55" s="786"/>
      <c r="T55" s="786"/>
      <c r="U55" s="786"/>
      <c r="V55" s="784"/>
      <c r="W55" s="687"/>
    </row>
    <row r="56" spans="1:23" s="335" customFormat="1" ht="15" customHeight="1">
      <c r="A56" s="559"/>
      <c r="B56"/>
      <c r="C56"/>
      <c r="D56"/>
      <c r="E56"/>
      <c r="F56"/>
      <c r="G56"/>
      <c r="H56"/>
      <c r="I56"/>
      <c r="J56"/>
      <c r="K56"/>
      <c r="L56"/>
      <c r="M56" s="559"/>
      <c r="N56"/>
      <c r="O56"/>
      <c r="P56"/>
      <c r="Q56" s="786"/>
      <c r="R56" s="786"/>
      <c r="S56" s="786"/>
      <c r="T56" s="786"/>
      <c r="U56" s="786"/>
      <c r="V56" s="786"/>
      <c r="W56" s="786"/>
    </row>
    <row r="57" spans="1:23" ht="15" customHeight="1">
      <c r="B57" s="334"/>
      <c r="C57" s="334"/>
      <c r="D57" s="334"/>
      <c r="E57" s="334"/>
      <c r="F57" s="352" t="s">
        <v>1293</v>
      </c>
      <c r="G57" s="582"/>
      <c r="H57" s="689"/>
      <c r="I57" s="560"/>
      <c r="J57" s="560"/>
      <c r="K57" s="560"/>
      <c r="L57" s="688">
        <f>8120*13*48000</f>
        <v>5066880000</v>
      </c>
    </row>
    <row r="58" spans="1:23" ht="15" customHeight="1">
      <c r="B58" s="334"/>
      <c r="C58" s="334"/>
      <c r="D58" s="334"/>
      <c r="E58" s="334"/>
      <c r="F58" s="352" t="s">
        <v>1294</v>
      </c>
      <c r="G58" s="582"/>
      <c r="H58" s="689"/>
      <c r="I58" s="560"/>
      <c r="J58" s="560"/>
      <c r="K58" s="560"/>
      <c r="L58" s="688">
        <f>4060*13*48500</f>
        <v>2559830000</v>
      </c>
    </row>
    <row r="59" spans="1:23" ht="15" customHeight="1">
      <c r="B59" s="334"/>
      <c r="C59" s="334"/>
      <c r="D59" s="334"/>
      <c r="E59" s="334"/>
      <c r="F59" s="352" t="s">
        <v>1295</v>
      </c>
      <c r="G59" s="582"/>
      <c r="H59" s="689"/>
      <c r="I59" s="560"/>
      <c r="J59" s="560"/>
      <c r="K59" s="560"/>
      <c r="L59" s="688">
        <f>895*13*48500</f>
        <v>564297500</v>
      </c>
      <c r="V59" s="786"/>
    </row>
    <row r="60" spans="1:23" ht="15" customHeight="1">
      <c r="B60" s="334"/>
      <c r="C60" s="334"/>
      <c r="D60" s="334"/>
      <c r="E60" s="334"/>
      <c r="F60" s="352" t="s">
        <v>1297</v>
      </c>
      <c r="G60" s="582"/>
      <c r="H60" s="689"/>
      <c r="I60" s="560"/>
      <c r="J60" s="560"/>
      <c r="K60" s="560"/>
      <c r="L60" s="688">
        <f>350*13*48500</f>
        <v>220675000</v>
      </c>
    </row>
    <row r="61" spans="1:23" s="335" customFormat="1" ht="15" customHeight="1">
      <c r="A61" s="559"/>
      <c r="B61" s="334"/>
      <c r="C61" s="334"/>
      <c r="D61" s="334"/>
      <c r="E61" s="334"/>
      <c r="F61" s="352" t="s">
        <v>1296</v>
      </c>
      <c r="G61" s="582"/>
      <c r="H61" s="689"/>
      <c r="I61" s="560"/>
      <c r="J61" s="560"/>
      <c r="K61" s="560"/>
      <c r="L61" s="688">
        <f>1984*13*48500</f>
        <v>1250912000</v>
      </c>
      <c r="M61" s="559"/>
      <c r="R61" s="689"/>
      <c r="S61" s="560"/>
      <c r="T61" s="560"/>
      <c r="U61" s="560"/>
      <c r="V61" s="688"/>
      <c r="W61" s="306"/>
    </row>
    <row r="62" spans="1:23" s="335" customFormat="1" ht="15" customHeight="1">
      <c r="A62" s="559"/>
      <c r="B62"/>
      <c r="C62"/>
      <c r="D62"/>
      <c r="E62"/>
      <c r="F62" s="352" t="s">
        <v>1298</v>
      </c>
      <c r="G62"/>
      <c r="H62"/>
      <c r="I62"/>
      <c r="J62"/>
      <c r="K62"/>
      <c r="L62" s="688">
        <f>10*13*48500</f>
        <v>6305000</v>
      </c>
      <c r="M62" s="559"/>
      <c r="R62" s="689"/>
      <c r="S62" s="560"/>
      <c r="T62" s="560"/>
      <c r="U62" s="560"/>
      <c r="V62" s="688"/>
      <c r="W62" s="306"/>
    </row>
    <row r="63" spans="1:23" s="335" customFormat="1" ht="15" customHeight="1">
      <c r="A63" s="559"/>
      <c r="B63"/>
      <c r="C63"/>
      <c r="D63"/>
      <c r="E63"/>
      <c r="F63" s="352" t="s">
        <v>1299</v>
      </c>
      <c r="G63"/>
      <c r="H63"/>
      <c r="I63"/>
      <c r="J63"/>
      <c r="K63"/>
      <c r="L63" s="688">
        <f>4000*13*49000</f>
        <v>2548000000</v>
      </c>
      <c r="M63" s="559"/>
      <c r="R63" s="689"/>
      <c r="S63" s="560"/>
      <c r="T63" s="560"/>
      <c r="U63" s="560"/>
      <c r="V63" s="688"/>
      <c r="W63" s="306"/>
    </row>
    <row r="64" spans="1:23" s="335" customFormat="1" ht="15" customHeight="1">
      <c r="A64" s="559"/>
      <c r="B64"/>
      <c r="C64"/>
      <c r="D64"/>
      <c r="E64"/>
      <c r="F64"/>
      <c r="G64"/>
      <c r="H64"/>
      <c r="I64"/>
      <c r="J64"/>
      <c r="K64"/>
      <c r="L64"/>
      <c r="M64" s="559"/>
      <c r="R64" s="689"/>
      <c r="S64" s="560"/>
      <c r="T64" s="560"/>
      <c r="U64" s="560"/>
      <c r="V64" s="688"/>
    </row>
    <row r="65" spans="1:23" s="335" customFormat="1" ht="15" customHeight="1">
      <c r="A65" s="559"/>
      <c r="B65"/>
      <c r="C65"/>
      <c r="D65"/>
      <c r="E65"/>
      <c r="F65"/>
      <c r="G65"/>
      <c r="H65"/>
      <c r="I65"/>
      <c r="J65"/>
      <c r="K65"/>
      <c r="L65" s="937">
        <f>SUM(L57:L64)</f>
        <v>12216899500</v>
      </c>
      <c r="M65" s="559"/>
      <c r="R65" s="689"/>
      <c r="S65" s="560"/>
      <c r="T65" s="560"/>
      <c r="U65" s="560"/>
      <c r="V65" s="688"/>
    </row>
    <row r="66" spans="1:23" s="335" customFormat="1" ht="15" customHeight="1">
      <c r="A66" s="559"/>
      <c r="B66"/>
      <c r="C66"/>
      <c r="D66"/>
      <c r="E66"/>
      <c r="F66"/>
      <c r="G66"/>
      <c r="H66"/>
      <c r="I66"/>
      <c r="J66"/>
      <c r="K66"/>
      <c r="L66"/>
      <c r="M66" s="559"/>
      <c r="R66" s="689"/>
      <c r="S66" s="560"/>
      <c r="T66" s="560"/>
      <c r="U66" s="560"/>
      <c r="V66" s="688"/>
    </row>
    <row r="67" spans="1:23" s="335" customFormat="1" ht="15" customHeight="1">
      <c r="A67" s="559"/>
      <c r="B67"/>
      <c r="C67"/>
      <c r="D67"/>
      <c r="E67"/>
      <c r="F67" s="560" t="s">
        <v>1199</v>
      </c>
      <c r="G67" s="534"/>
      <c r="H67" s="534"/>
      <c r="I67" s="534"/>
      <c r="J67" s="537"/>
      <c r="K67"/>
      <c r="L67" s="801">
        <f>L65-L55-L46</f>
        <v>613855570</v>
      </c>
      <c r="M67" s="559"/>
      <c r="R67" s="689"/>
      <c r="S67" s="560"/>
      <c r="T67" s="560"/>
      <c r="U67" s="560"/>
      <c r="V67" s="688"/>
    </row>
    <row r="68" spans="1:23" ht="15" customHeight="1">
      <c r="N68" s="335"/>
      <c r="O68" s="335"/>
      <c r="P68" s="335"/>
      <c r="Q68" s="335"/>
      <c r="R68" s="689"/>
      <c r="S68" s="560"/>
      <c r="T68" s="560"/>
      <c r="U68" s="560"/>
      <c r="V68" s="688"/>
      <c r="W68" s="335"/>
    </row>
    <row r="69" spans="1:23" ht="15" customHeight="1">
      <c r="N69" s="335"/>
      <c r="O69" s="335"/>
      <c r="P69" s="335"/>
      <c r="Q69" s="799"/>
      <c r="R69" s="689"/>
      <c r="S69" s="800"/>
      <c r="T69" s="800"/>
      <c r="U69" s="800"/>
      <c r="V69" s="801"/>
      <c r="W69" s="799"/>
    </row>
    <row r="70" spans="1:23" ht="15" customHeight="1">
      <c r="N70" s="335"/>
      <c r="O70" s="335"/>
      <c r="P70" s="335"/>
      <c r="Q70" s="799"/>
      <c r="R70" s="689"/>
      <c r="S70" s="800"/>
      <c r="T70" s="800"/>
      <c r="U70" s="800"/>
      <c r="V70" s="801"/>
      <c r="W70" s="799"/>
    </row>
    <row r="71" spans="1:23" ht="15" customHeight="1">
      <c r="N71" s="335"/>
      <c r="O71" s="335"/>
      <c r="P71" s="335"/>
      <c r="Q71" s="799"/>
      <c r="R71" s="689"/>
      <c r="S71" s="800"/>
      <c r="T71" s="800"/>
      <c r="U71" s="800"/>
      <c r="V71" s="801"/>
      <c r="W71" s="799"/>
    </row>
  </sheetData>
  <mergeCells count="35">
    <mergeCell ref="W27:W31"/>
    <mergeCell ref="B15:B16"/>
    <mergeCell ref="C15:C16"/>
    <mergeCell ref="D15:D16"/>
    <mergeCell ref="F15:F16"/>
    <mergeCell ref="G15:G16"/>
    <mergeCell ref="J15:J16"/>
    <mergeCell ref="K15:K16"/>
    <mergeCell ref="L15:L16"/>
    <mergeCell ref="E15:E16"/>
    <mergeCell ref="W15:W16"/>
    <mergeCell ref="R15:R16"/>
    <mergeCell ref="Q15:Q16"/>
    <mergeCell ref="S15:S16"/>
    <mergeCell ref="N15:N16"/>
    <mergeCell ref="O15:O16"/>
    <mergeCell ref="L2:L3"/>
    <mergeCell ref="B2:B3"/>
    <mergeCell ref="C2:C3"/>
    <mergeCell ref="D2:D3"/>
    <mergeCell ref="F2:F3"/>
    <mergeCell ref="G2:G3"/>
    <mergeCell ref="H2:I3"/>
    <mergeCell ref="E2:E3"/>
    <mergeCell ref="F17:F23"/>
    <mergeCell ref="F29:F32"/>
    <mergeCell ref="F33:F35"/>
    <mergeCell ref="J2:J3"/>
    <mergeCell ref="K2:K3"/>
    <mergeCell ref="T15:T16"/>
    <mergeCell ref="U15:U16"/>
    <mergeCell ref="V15:V16"/>
    <mergeCell ref="P15:P16"/>
    <mergeCell ref="H39:I39"/>
    <mergeCell ref="H15:I16"/>
  </mergeCells>
  <pageMargins left="0.28999999999999998" right="0.16" top="0.27" bottom="0.16" header="0.16" footer="0"/>
  <pageSetup paperSize="9"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223"/>
  <sheetViews>
    <sheetView zoomScale="90" zoomScaleNormal="90" workbookViewId="0">
      <pane xSplit="5" ySplit="3" topLeftCell="F188" activePane="bottomRight" state="frozen"/>
      <selection activeCell="V99" sqref="V99"/>
      <selection pane="topRight" activeCell="V99" sqref="V99"/>
      <selection pane="bottomLeft" activeCell="V99" sqref="V99"/>
      <selection pane="bottomRight" activeCell="R204" sqref="R204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33.85546875" style="236" customWidth="1"/>
    <col min="4" max="4" width="13.85546875" style="236" customWidth="1"/>
    <col min="5" max="5" width="12.85546875" style="236" customWidth="1"/>
    <col min="6" max="6" width="9" style="236" customWidth="1"/>
    <col min="7" max="7" width="9.85546875" style="236" customWidth="1"/>
    <col min="8" max="8" width="6.5703125" style="236" customWidth="1"/>
    <col min="9" max="9" width="10.42578125" style="236" customWidth="1"/>
    <col min="10" max="10" width="13.140625" style="236" customWidth="1"/>
    <col min="11" max="11" width="14.28515625" style="236" customWidth="1"/>
    <col min="12" max="12" width="8.140625" style="236" customWidth="1"/>
    <col min="13" max="13" width="8.5703125" style="236" customWidth="1"/>
    <col min="14" max="14" width="13.42578125" style="236" customWidth="1"/>
    <col min="15" max="15" width="8" style="236" customWidth="1"/>
    <col min="16" max="16" width="15" style="236" customWidth="1"/>
    <col min="17" max="17" width="10.5703125" style="236" customWidth="1"/>
    <col min="18" max="18" width="14.85546875" style="236" customWidth="1"/>
    <col min="19" max="19" width="26.85546875" style="236" hidden="1" customWidth="1"/>
    <col min="20" max="21" width="14.85546875" style="236" hidden="1" customWidth="1"/>
    <col min="22" max="22" width="16" style="236" customWidth="1"/>
    <col min="23" max="16384" width="10.7109375" style="236"/>
  </cols>
  <sheetData>
    <row r="1" spans="1:22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</row>
    <row r="2" spans="1:22" s="237" customFormat="1" ht="19.5" customHeight="1">
      <c r="A2" s="849" t="s">
        <v>0</v>
      </c>
      <c r="B2" s="849" t="s">
        <v>1</v>
      </c>
      <c r="C2" s="852" t="s">
        <v>2</v>
      </c>
      <c r="D2" s="852"/>
      <c r="E2" s="852"/>
      <c r="F2" s="852" t="s">
        <v>464</v>
      </c>
      <c r="G2" s="852"/>
      <c r="H2" s="852"/>
      <c r="I2" s="852"/>
      <c r="J2" s="852"/>
      <c r="K2" s="850" t="s">
        <v>452</v>
      </c>
      <c r="L2" s="852" t="s">
        <v>3</v>
      </c>
      <c r="M2" s="852"/>
      <c r="N2" s="852"/>
      <c r="O2" s="852"/>
      <c r="P2" s="852"/>
      <c r="Q2" s="852"/>
      <c r="R2" s="852"/>
      <c r="S2" s="849" t="s">
        <v>451</v>
      </c>
      <c r="T2" s="849"/>
      <c r="U2" s="849"/>
      <c r="V2" s="850" t="s">
        <v>82</v>
      </c>
    </row>
    <row r="3" spans="1:22" s="143" customFormat="1" ht="42" customHeight="1">
      <c r="A3" s="849"/>
      <c r="B3" s="849" t="s">
        <v>1</v>
      </c>
      <c r="C3" s="295" t="s">
        <v>4</v>
      </c>
      <c r="D3" s="295" t="s">
        <v>5</v>
      </c>
      <c r="E3" s="295" t="s">
        <v>6</v>
      </c>
      <c r="F3" s="295" t="s">
        <v>83</v>
      </c>
      <c r="G3" s="317" t="s">
        <v>7</v>
      </c>
      <c r="H3" s="295" t="s">
        <v>453</v>
      </c>
      <c r="I3" s="295" t="s">
        <v>411</v>
      </c>
      <c r="J3" s="304" t="s">
        <v>454</v>
      </c>
      <c r="K3" s="851"/>
      <c r="L3" s="295" t="s">
        <v>455</v>
      </c>
      <c r="M3" s="295" t="s">
        <v>456</v>
      </c>
      <c r="N3" s="295" t="s">
        <v>457</v>
      </c>
      <c r="O3" s="295" t="s">
        <v>51</v>
      </c>
      <c r="P3" s="295" t="s">
        <v>458</v>
      </c>
      <c r="Q3" s="295" t="s">
        <v>519</v>
      </c>
      <c r="R3" s="295" t="s">
        <v>459</v>
      </c>
      <c r="S3" s="295" t="s">
        <v>460</v>
      </c>
      <c r="T3" s="295" t="s">
        <v>461</v>
      </c>
      <c r="U3" s="295" t="s">
        <v>462</v>
      </c>
      <c r="V3" s="851"/>
    </row>
    <row r="4" spans="1:22" s="150" customFormat="1" ht="18" customHeight="1">
      <c r="A4" s="144">
        <v>1</v>
      </c>
      <c r="B4" s="297">
        <v>42811</v>
      </c>
      <c r="C4" s="144" t="s">
        <v>483</v>
      </c>
      <c r="D4" s="144" t="s">
        <v>484</v>
      </c>
      <c r="E4" s="144">
        <v>4862142</v>
      </c>
      <c r="F4" s="316">
        <v>2026</v>
      </c>
      <c r="G4" s="316">
        <f>F4*13</f>
        <v>26338</v>
      </c>
      <c r="H4" s="292">
        <v>2.65</v>
      </c>
      <c r="I4" s="292">
        <f>G4*H4</f>
        <v>69795.7</v>
      </c>
      <c r="J4" s="902">
        <f>SUM(I4:I9)</f>
        <v>418946.44999999995</v>
      </c>
      <c r="K4" s="903">
        <f>29*51000000+9000000*3</f>
        <v>1506000000</v>
      </c>
      <c r="L4" s="901">
        <v>42828</v>
      </c>
      <c r="M4" s="902">
        <v>12</v>
      </c>
      <c r="N4" s="902">
        <f>J4-M4</f>
        <v>418934.44999999995</v>
      </c>
      <c r="O4" s="903">
        <v>22610</v>
      </c>
      <c r="P4" s="903">
        <f>N4*O4</f>
        <v>9472107914.4999981</v>
      </c>
      <c r="Q4" s="903">
        <v>2506900</v>
      </c>
      <c r="R4" s="903">
        <f>P4-Q4</f>
        <v>9469601014.4999981</v>
      </c>
      <c r="S4" s="253" t="s">
        <v>394</v>
      </c>
      <c r="T4" s="254">
        <v>1100000</v>
      </c>
      <c r="U4" s="255">
        <v>2848697800</v>
      </c>
      <c r="V4" s="144"/>
    </row>
    <row r="5" spans="1:22" s="150" customFormat="1" ht="18" customHeight="1">
      <c r="A5" s="144">
        <v>2</v>
      </c>
      <c r="B5" s="297">
        <v>42811</v>
      </c>
      <c r="C5" s="144" t="s">
        <v>483</v>
      </c>
      <c r="D5" s="243" t="s">
        <v>485</v>
      </c>
      <c r="E5" s="243">
        <v>4862192</v>
      </c>
      <c r="F5" s="316">
        <v>2027</v>
      </c>
      <c r="G5" s="319">
        <f t="shared" ref="G5:G14" si="0">F5*13</f>
        <v>26351</v>
      </c>
      <c r="H5" s="292">
        <v>2.65</v>
      </c>
      <c r="I5" s="314">
        <f t="shared" ref="I5:I8" si="1">G5*H5</f>
        <v>69830.149999999994</v>
      </c>
      <c r="J5" s="842"/>
      <c r="K5" s="822"/>
      <c r="L5" s="844"/>
      <c r="M5" s="842"/>
      <c r="N5" s="842"/>
      <c r="O5" s="822"/>
      <c r="P5" s="822"/>
      <c r="Q5" s="822"/>
      <c r="R5" s="822"/>
      <c r="S5" s="329" t="s">
        <v>401</v>
      </c>
      <c r="T5" s="254">
        <v>1100000</v>
      </c>
      <c r="U5" s="258">
        <v>1444430000</v>
      </c>
      <c r="V5" s="144"/>
    </row>
    <row r="6" spans="1:22" s="150" customFormat="1" ht="18" customHeight="1">
      <c r="A6" s="144">
        <v>3</v>
      </c>
      <c r="B6" s="297">
        <v>42811</v>
      </c>
      <c r="C6" s="144" t="s">
        <v>483</v>
      </c>
      <c r="D6" s="243" t="s">
        <v>486</v>
      </c>
      <c r="E6" s="243">
        <v>4862155</v>
      </c>
      <c r="F6" s="316">
        <v>2027</v>
      </c>
      <c r="G6" s="319">
        <f t="shared" si="0"/>
        <v>26351</v>
      </c>
      <c r="H6" s="292">
        <v>2.65</v>
      </c>
      <c r="I6" s="314">
        <f t="shared" si="1"/>
        <v>69830.149999999994</v>
      </c>
      <c r="J6" s="842"/>
      <c r="K6" s="822"/>
      <c r="L6" s="844"/>
      <c r="M6" s="842"/>
      <c r="N6" s="842"/>
      <c r="O6" s="822"/>
      <c r="P6" s="822"/>
      <c r="Q6" s="822"/>
      <c r="R6" s="822"/>
      <c r="S6" s="329" t="s">
        <v>55</v>
      </c>
      <c r="T6" s="254">
        <v>1100000</v>
      </c>
      <c r="U6" s="258">
        <v>2246630000</v>
      </c>
      <c r="V6" s="144"/>
    </row>
    <row r="7" spans="1:22" s="150" customFormat="1" ht="18" customHeight="1">
      <c r="A7" s="144">
        <v>4</v>
      </c>
      <c r="B7" s="297">
        <v>42811</v>
      </c>
      <c r="C7" s="144" t="s">
        <v>483</v>
      </c>
      <c r="D7" s="243" t="s">
        <v>487</v>
      </c>
      <c r="E7" s="243">
        <v>4862148</v>
      </c>
      <c r="F7" s="316">
        <v>2027</v>
      </c>
      <c r="G7" s="319">
        <f t="shared" si="0"/>
        <v>26351</v>
      </c>
      <c r="H7" s="292">
        <v>2.65</v>
      </c>
      <c r="I7" s="314">
        <f t="shared" si="1"/>
        <v>69830.149999999994</v>
      </c>
      <c r="J7" s="842"/>
      <c r="K7" s="822"/>
      <c r="L7" s="844"/>
      <c r="M7" s="842"/>
      <c r="N7" s="842"/>
      <c r="O7" s="822"/>
      <c r="P7" s="822"/>
      <c r="Q7" s="822"/>
      <c r="R7" s="822"/>
      <c r="S7" s="256" t="s">
        <v>152</v>
      </c>
      <c r="T7" s="254">
        <v>1100000</v>
      </c>
      <c r="U7" s="255">
        <v>1419444000</v>
      </c>
      <c r="V7" s="144"/>
    </row>
    <row r="8" spans="1:22" s="150" customFormat="1" ht="18" customHeight="1">
      <c r="A8" s="144">
        <v>5</v>
      </c>
      <c r="B8" s="297">
        <v>42811</v>
      </c>
      <c r="C8" s="144" t="s">
        <v>483</v>
      </c>
      <c r="D8" s="243" t="s">
        <v>488</v>
      </c>
      <c r="E8" s="243">
        <v>4862151</v>
      </c>
      <c r="F8" s="316">
        <v>2027</v>
      </c>
      <c r="G8" s="319">
        <f t="shared" si="0"/>
        <v>26351</v>
      </c>
      <c r="H8" s="292">
        <v>2.65</v>
      </c>
      <c r="I8" s="314">
        <f t="shared" si="1"/>
        <v>69830.149999999994</v>
      </c>
      <c r="J8" s="842"/>
      <c r="K8" s="822"/>
      <c r="L8" s="844"/>
      <c r="M8" s="842"/>
      <c r="N8" s="842"/>
      <c r="O8" s="822"/>
      <c r="P8" s="822"/>
      <c r="Q8" s="822"/>
      <c r="R8" s="822"/>
      <c r="S8" s="253" t="s">
        <v>510</v>
      </c>
      <c r="T8" s="254"/>
      <c r="U8" s="255">
        <v>1479000000</v>
      </c>
      <c r="V8" s="144"/>
    </row>
    <row r="9" spans="1:22" s="150" customFormat="1" ht="18" customHeight="1">
      <c r="A9" s="144">
        <v>6</v>
      </c>
      <c r="B9" s="297">
        <v>42811</v>
      </c>
      <c r="C9" s="144" t="s">
        <v>483</v>
      </c>
      <c r="D9" s="243" t="s">
        <v>489</v>
      </c>
      <c r="E9" s="243">
        <v>4862149</v>
      </c>
      <c r="F9" s="316">
        <v>2027</v>
      </c>
      <c r="G9" s="319">
        <f t="shared" si="0"/>
        <v>26351</v>
      </c>
      <c r="H9" s="292">
        <v>2.65</v>
      </c>
      <c r="I9" s="314">
        <f>G9*H9</f>
        <v>69830.149999999994</v>
      </c>
      <c r="J9" s="831"/>
      <c r="K9" s="822"/>
      <c r="L9" s="845"/>
      <c r="M9" s="831"/>
      <c r="N9" s="831"/>
      <c r="O9" s="823"/>
      <c r="P9" s="823"/>
      <c r="Q9" s="823"/>
      <c r="R9" s="823"/>
      <c r="S9" s="253" t="s">
        <v>511</v>
      </c>
      <c r="T9" s="254"/>
      <c r="U9" s="255">
        <v>27000000</v>
      </c>
      <c r="V9" s="343">
        <f>R4-SUM(T4:U9)</f>
        <v>-785.50000190734863</v>
      </c>
    </row>
    <row r="10" spans="1:22" s="150" customFormat="1" ht="18" customHeight="1">
      <c r="A10" s="144">
        <v>7</v>
      </c>
      <c r="B10" s="300">
        <v>42817</v>
      </c>
      <c r="C10" s="243" t="s">
        <v>490</v>
      </c>
      <c r="D10" s="243" t="s">
        <v>491</v>
      </c>
      <c r="E10" s="243">
        <v>4869106</v>
      </c>
      <c r="F10" s="319">
        <v>2022</v>
      </c>
      <c r="G10" s="319">
        <f t="shared" si="0"/>
        <v>26286</v>
      </c>
      <c r="H10" s="320">
        <v>2.65</v>
      </c>
      <c r="I10" s="320">
        <f t="shared" ref="I10:I67" si="2">G10*H10</f>
        <v>69657.899999999994</v>
      </c>
      <c r="J10" s="830">
        <f>SUM(I10:I14)</f>
        <v>348255.05</v>
      </c>
      <c r="K10" s="822"/>
      <c r="L10" s="867">
        <v>42842</v>
      </c>
      <c r="M10" s="866">
        <v>117</v>
      </c>
      <c r="N10" s="866">
        <f>J10-M10</f>
        <v>348138.05</v>
      </c>
      <c r="O10" s="865">
        <v>22630</v>
      </c>
      <c r="P10" s="865">
        <f>N10*O10</f>
        <v>7878364071.5</v>
      </c>
      <c r="Q10" s="865"/>
      <c r="R10" s="865">
        <f>P10-Q10</f>
        <v>7878364071.5</v>
      </c>
      <c r="S10" s="253" t="s">
        <v>55</v>
      </c>
      <c r="T10" s="254">
        <v>1100000</v>
      </c>
      <c r="U10" s="255">
        <v>2306462000</v>
      </c>
      <c r="V10" s="144"/>
    </row>
    <row r="11" spans="1:22" s="150" customFormat="1" ht="18" customHeight="1">
      <c r="A11" s="144">
        <v>8</v>
      </c>
      <c r="B11" s="321">
        <v>42817</v>
      </c>
      <c r="C11" s="243" t="s">
        <v>490</v>
      </c>
      <c r="D11" s="243" t="s">
        <v>492</v>
      </c>
      <c r="E11" s="243">
        <v>4869155</v>
      </c>
      <c r="F11" s="319">
        <v>2022</v>
      </c>
      <c r="G11" s="319">
        <f t="shared" si="0"/>
        <v>26286</v>
      </c>
      <c r="H11" s="320">
        <v>2.65</v>
      </c>
      <c r="I11" s="320">
        <f t="shared" si="2"/>
        <v>69657.899999999994</v>
      </c>
      <c r="J11" s="842"/>
      <c r="K11" s="822"/>
      <c r="L11" s="867"/>
      <c r="M11" s="866"/>
      <c r="N11" s="866"/>
      <c r="O11" s="865"/>
      <c r="P11" s="865"/>
      <c r="Q11" s="865"/>
      <c r="R11" s="865"/>
      <c r="S11" s="256" t="s">
        <v>152</v>
      </c>
      <c r="T11" s="254">
        <v>1100000</v>
      </c>
      <c r="U11" s="255">
        <v>1419444000</v>
      </c>
      <c r="V11" s="145"/>
    </row>
    <row r="12" spans="1:22" s="150" customFormat="1" ht="18" customHeight="1">
      <c r="A12" s="144">
        <v>9</v>
      </c>
      <c r="B12" s="321">
        <v>42817</v>
      </c>
      <c r="C12" s="243" t="s">
        <v>490</v>
      </c>
      <c r="D12" s="243" t="s">
        <v>493</v>
      </c>
      <c r="E12" s="243">
        <v>4869156</v>
      </c>
      <c r="F12" s="319">
        <v>2022</v>
      </c>
      <c r="G12" s="319">
        <f t="shared" si="0"/>
        <v>26286</v>
      </c>
      <c r="H12" s="320">
        <v>2.65</v>
      </c>
      <c r="I12" s="320">
        <f t="shared" si="2"/>
        <v>69657.899999999994</v>
      </c>
      <c r="J12" s="842"/>
      <c r="K12" s="822"/>
      <c r="L12" s="867"/>
      <c r="M12" s="866"/>
      <c r="N12" s="866"/>
      <c r="O12" s="865"/>
      <c r="P12" s="865"/>
      <c r="Q12" s="865"/>
      <c r="R12" s="865"/>
      <c r="S12" s="253" t="s">
        <v>131</v>
      </c>
      <c r="T12" s="254">
        <v>1100000</v>
      </c>
      <c r="U12" s="255">
        <v>1143740000</v>
      </c>
      <c r="V12" s="144"/>
    </row>
    <row r="13" spans="1:22" s="150" customFormat="1" ht="18" customHeight="1">
      <c r="A13" s="144">
        <v>10</v>
      </c>
      <c r="B13" s="321">
        <v>42817</v>
      </c>
      <c r="C13" s="243" t="s">
        <v>490</v>
      </c>
      <c r="D13" s="243" t="s">
        <v>494</v>
      </c>
      <c r="E13" s="243">
        <v>4869102</v>
      </c>
      <c r="F13" s="319">
        <v>2022</v>
      </c>
      <c r="G13" s="319">
        <f t="shared" si="0"/>
        <v>26286</v>
      </c>
      <c r="H13" s="320">
        <v>2.65</v>
      </c>
      <c r="I13" s="320">
        <f t="shared" si="2"/>
        <v>69657.899999999994</v>
      </c>
      <c r="J13" s="842"/>
      <c r="K13" s="822"/>
      <c r="L13" s="867"/>
      <c r="M13" s="866"/>
      <c r="N13" s="866"/>
      <c r="O13" s="865"/>
      <c r="P13" s="865"/>
      <c r="Q13" s="865"/>
      <c r="R13" s="865"/>
      <c r="S13" s="256" t="s">
        <v>547</v>
      </c>
      <c r="T13" s="254">
        <v>1100000</v>
      </c>
      <c r="U13" s="255">
        <v>1653600000</v>
      </c>
      <c r="V13" s="144"/>
    </row>
    <row r="14" spans="1:22" s="150" customFormat="1" ht="18" customHeight="1">
      <c r="A14" s="144">
        <v>11</v>
      </c>
      <c r="B14" s="321">
        <v>42817</v>
      </c>
      <c r="C14" s="243" t="s">
        <v>490</v>
      </c>
      <c r="D14" s="150" t="s">
        <v>495</v>
      </c>
      <c r="E14" s="243">
        <v>4869104</v>
      </c>
      <c r="F14" s="319">
        <v>2021</v>
      </c>
      <c r="G14" s="319">
        <f t="shared" si="0"/>
        <v>26273</v>
      </c>
      <c r="H14" s="320">
        <v>2.65</v>
      </c>
      <c r="I14" s="320">
        <f t="shared" si="2"/>
        <v>69623.45</v>
      </c>
      <c r="J14" s="831"/>
      <c r="K14" s="822"/>
      <c r="L14" s="867"/>
      <c r="M14" s="866"/>
      <c r="N14" s="866"/>
      <c r="O14" s="865"/>
      <c r="P14" s="865"/>
      <c r="Q14" s="865"/>
      <c r="R14" s="865"/>
      <c r="S14" s="253" t="s">
        <v>394</v>
      </c>
      <c r="T14" s="254">
        <v>1100000</v>
      </c>
      <c r="U14" s="255">
        <v>1349618000</v>
      </c>
      <c r="V14" s="343">
        <f>R10-SUM(T10:U14)</f>
        <v>71.5</v>
      </c>
    </row>
    <row r="15" spans="1:22" s="150" customFormat="1" ht="18" customHeight="1">
      <c r="A15" s="144">
        <v>12</v>
      </c>
      <c r="B15" s="300">
        <v>42821</v>
      </c>
      <c r="C15" s="243" t="s">
        <v>496</v>
      </c>
      <c r="D15" s="243" t="s">
        <v>497</v>
      </c>
      <c r="E15" s="243" t="s">
        <v>503</v>
      </c>
      <c r="F15" s="294">
        <v>2030</v>
      </c>
      <c r="G15" s="316">
        <f t="shared" ref="G15:G90" si="3">F15*13</f>
        <v>26390</v>
      </c>
      <c r="H15" s="292">
        <v>2.84</v>
      </c>
      <c r="I15" s="320">
        <f t="shared" si="2"/>
        <v>74947.599999999991</v>
      </c>
      <c r="J15" s="830">
        <f>SUM(I15:I20)</f>
        <v>449685.59999999992</v>
      </c>
      <c r="K15" s="822"/>
      <c r="L15" s="867">
        <v>42850</v>
      </c>
      <c r="M15" s="866">
        <v>12</v>
      </c>
      <c r="N15" s="866">
        <f>J15-M15</f>
        <v>449673.59999999992</v>
      </c>
      <c r="O15" s="865">
        <v>22630</v>
      </c>
      <c r="P15" s="865">
        <f>N15*O15</f>
        <v>10176113567.999998</v>
      </c>
      <c r="Q15" s="865">
        <v>2506900</v>
      </c>
      <c r="R15" s="865">
        <f>P15-Q15</f>
        <v>10173606667.999998</v>
      </c>
      <c r="S15" s="253" t="s">
        <v>152</v>
      </c>
      <c r="T15" s="254">
        <v>1100000</v>
      </c>
      <c r="U15" s="255">
        <v>2186691000</v>
      </c>
      <c r="V15" s="144"/>
    </row>
    <row r="16" spans="1:22" s="150" customFormat="1" ht="18" customHeight="1">
      <c r="A16" s="144">
        <v>13</v>
      </c>
      <c r="B16" s="322">
        <v>42821</v>
      </c>
      <c r="C16" s="243" t="s">
        <v>496</v>
      </c>
      <c r="D16" s="245" t="s">
        <v>498</v>
      </c>
      <c r="E16" s="243" t="s">
        <v>504</v>
      </c>
      <c r="F16" s="323">
        <v>2030</v>
      </c>
      <c r="G16" s="316">
        <f t="shared" si="3"/>
        <v>26390</v>
      </c>
      <c r="H16" s="324">
        <v>2.84</v>
      </c>
      <c r="I16" s="320">
        <f t="shared" si="2"/>
        <v>74947.599999999991</v>
      </c>
      <c r="J16" s="842"/>
      <c r="K16" s="822"/>
      <c r="L16" s="867"/>
      <c r="M16" s="866"/>
      <c r="N16" s="866"/>
      <c r="O16" s="865"/>
      <c r="P16" s="865"/>
      <c r="Q16" s="865"/>
      <c r="R16" s="865"/>
      <c r="S16" s="253" t="s">
        <v>397</v>
      </c>
      <c r="T16" s="254">
        <v>1100000</v>
      </c>
      <c r="U16" s="255">
        <v>2797340000</v>
      </c>
      <c r="V16" s="144"/>
    </row>
    <row r="17" spans="1:22" s="150" customFormat="1" ht="18" customHeight="1">
      <c r="A17" s="144">
        <v>14</v>
      </c>
      <c r="B17" s="322">
        <v>42821</v>
      </c>
      <c r="C17" s="243" t="s">
        <v>496</v>
      </c>
      <c r="D17" s="243" t="s">
        <v>499</v>
      </c>
      <c r="E17" s="243" t="s">
        <v>505</v>
      </c>
      <c r="F17" s="323">
        <v>2030</v>
      </c>
      <c r="G17" s="316">
        <f t="shared" si="3"/>
        <v>26390</v>
      </c>
      <c r="H17" s="324">
        <v>2.84</v>
      </c>
      <c r="I17" s="320">
        <f t="shared" si="2"/>
        <v>74947.599999999991</v>
      </c>
      <c r="J17" s="842"/>
      <c r="K17" s="822"/>
      <c r="L17" s="867"/>
      <c r="M17" s="866"/>
      <c r="N17" s="866"/>
      <c r="O17" s="865"/>
      <c r="P17" s="865"/>
      <c r="Q17" s="865"/>
      <c r="R17" s="865"/>
      <c r="S17" s="253" t="s">
        <v>394</v>
      </c>
      <c r="T17" s="254">
        <v>1100000</v>
      </c>
      <c r="U17" s="255">
        <v>4982275000</v>
      </c>
      <c r="V17" s="144"/>
    </row>
    <row r="18" spans="1:22" s="150" customFormat="1" ht="18" customHeight="1">
      <c r="A18" s="144">
        <v>15</v>
      </c>
      <c r="B18" s="322">
        <v>42821</v>
      </c>
      <c r="C18" s="243" t="s">
        <v>496</v>
      </c>
      <c r="D18" s="243" t="s">
        <v>500</v>
      </c>
      <c r="E18" s="243" t="s">
        <v>506</v>
      </c>
      <c r="F18" s="323">
        <v>2030</v>
      </c>
      <c r="G18" s="316">
        <f t="shared" si="3"/>
        <v>26390</v>
      </c>
      <c r="H18" s="324">
        <v>2.84</v>
      </c>
      <c r="I18" s="320">
        <f t="shared" si="2"/>
        <v>74947.599999999991</v>
      </c>
      <c r="J18" s="842"/>
      <c r="K18" s="822"/>
      <c r="L18" s="867"/>
      <c r="M18" s="866"/>
      <c r="N18" s="866"/>
      <c r="O18" s="865"/>
      <c r="P18" s="865"/>
      <c r="Q18" s="865"/>
      <c r="R18" s="865"/>
      <c r="S18" s="253" t="s">
        <v>548</v>
      </c>
      <c r="T18" s="254"/>
      <c r="U18" s="255">
        <f>4*51000000</f>
        <v>204000000</v>
      </c>
      <c r="V18" s="144"/>
    </row>
    <row r="19" spans="1:22" s="150" customFormat="1" ht="18" customHeight="1">
      <c r="A19" s="144">
        <v>16</v>
      </c>
      <c r="B19" s="322">
        <v>42821</v>
      </c>
      <c r="C19" s="243" t="s">
        <v>496</v>
      </c>
      <c r="D19" s="243" t="s">
        <v>501</v>
      </c>
      <c r="E19" s="243" t="s">
        <v>507</v>
      </c>
      <c r="F19" s="323">
        <v>2030</v>
      </c>
      <c r="G19" s="316">
        <f t="shared" si="3"/>
        <v>26390</v>
      </c>
      <c r="H19" s="324">
        <v>2.84</v>
      </c>
      <c r="I19" s="320">
        <f t="shared" si="2"/>
        <v>74947.599999999991</v>
      </c>
      <c r="J19" s="842"/>
      <c r="K19" s="822"/>
      <c r="L19" s="867"/>
      <c r="M19" s="866"/>
      <c r="N19" s="866"/>
      <c r="O19" s="865"/>
      <c r="P19" s="865"/>
      <c r="Q19" s="865"/>
      <c r="R19" s="865"/>
      <c r="S19" s="256"/>
      <c r="T19" s="254"/>
      <c r="U19" s="255"/>
      <c r="V19" s="144"/>
    </row>
    <row r="20" spans="1:22" s="150" customFormat="1" ht="18" customHeight="1">
      <c r="A20" s="144">
        <v>17</v>
      </c>
      <c r="B20" s="322">
        <v>42821</v>
      </c>
      <c r="C20" s="243" t="s">
        <v>496</v>
      </c>
      <c r="D20" s="243" t="s">
        <v>502</v>
      </c>
      <c r="E20" s="243" t="s">
        <v>508</v>
      </c>
      <c r="F20" s="323">
        <v>2030</v>
      </c>
      <c r="G20" s="316">
        <f t="shared" si="3"/>
        <v>26390</v>
      </c>
      <c r="H20" s="324">
        <v>2.84</v>
      </c>
      <c r="I20" s="320">
        <f t="shared" si="2"/>
        <v>74947.599999999991</v>
      </c>
      <c r="J20" s="831"/>
      <c r="K20" s="822"/>
      <c r="L20" s="867"/>
      <c r="M20" s="866"/>
      <c r="N20" s="866"/>
      <c r="O20" s="865"/>
      <c r="P20" s="865"/>
      <c r="Q20" s="865"/>
      <c r="R20" s="865"/>
      <c r="S20" s="253"/>
      <c r="T20" s="254"/>
      <c r="U20" s="255"/>
      <c r="V20" s="343">
        <f>R15-SUM(T15:U20)</f>
        <v>667.99999809265137</v>
      </c>
    </row>
    <row r="21" spans="1:22" s="150" customFormat="1" ht="18" customHeight="1">
      <c r="A21" s="144">
        <v>18</v>
      </c>
      <c r="B21" s="300">
        <v>42827</v>
      </c>
      <c r="C21" s="243" t="s">
        <v>520</v>
      </c>
      <c r="D21" s="243" t="s">
        <v>521</v>
      </c>
      <c r="E21" s="243" t="s">
        <v>522</v>
      </c>
      <c r="F21" s="323">
        <v>2030</v>
      </c>
      <c r="G21" s="316">
        <f t="shared" si="3"/>
        <v>26390</v>
      </c>
      <c r="H21" s="292">
        <v>2.81</v>
      </c>
      <c r="I21" s="320">
        <f t="shared" si="2"/>
        <v>74155.899999999994</v>
      </c>
      <c r="J21" s="830">
        <f>SUM(I21:I26)</f>
        <v>444935.4</v>
      </c>
      <c r="K21" s="822"/>
      <c r="L21" s="843">
        <v>42868</v>
      </c>
      <c r="M21" s="830">
        <v>12</v>
      </c>
      <c r="N21" s="866">
        <f>J21-M21</f>
        <v>444923.4</v>
      </c>
      <c r="O21" s="865">
        <v>22600</v>
      </c>
      <c r="P21" s="865">
        <f>N21*O21</f>
        <v>10055268840</v>
      </c>
      <c r="Q21" s="865">
        <v>2504700</v>
      </c>
      <c r="R21" s="865">
        <f>P21-Q21-K21</f>
        <v>10052764140</v>
      </c>
      <c r="S21" s="256" t="s">
        <v>394</v>
      </c>
      <c r="T21" s="254">
        <v>2200000</v>
      </c>
      <c r="U21" s="255">
        <v>3162276000</v>
      </c>
      <c r="V21" s="144"/>
    </row>
    <row r="22" spans="1:22" s="150" customFormat="1" ht="18" customHeight="1">
      <c r="A22" s="144">
        <v>19</v>
      </c>
      <c r="B22" s="325">
        <v>42827</v>
      </c>
      <c r="C22" s="243" t="s">
        <v>520</v>
      </c>
      <c r="D22" s="243" t="s">
        <v>523</v>
      </c>
      <c r="E22" s="243" t="s">
        <v>524</v>
      </c>
      <c r="F22" s="323">
        <v>2030</v>
      </c>
      <c r="G22" s="316">
        <f t="shared" si="3"/>
        <v>26390</v>
      </c>
      <c r="H22" s="324">
        <v>2.81</v>
      </c>
      <c r="I22" s="320">
        <f t="shared" si="2"/>
        <v>74155.899999999994</v>
      </c>
      <c r="J22" s="842"/>
      <c r="K22" s="822"/>
      <c r="L22" s="844"/>
      <c r="M22" s="842"/>
      <c r="N22" s="866"/>
      <c r="O22" s="865"/>
      <c r="P22" s="865"/>
      <c r="Q22" s="865"/>
      <c r="R22" s="865"/>
      <c r="S22" s="329" t="s">
        <v>401</v>
      </c>
      <c r="T22" s="254">
        <v>1207606.3999999999</v>
      </c>
      <c r="U22" s="255">
        <v>1372280000</v>
      </c>
      <c r="V22" s="144"/>
    </row>
    <row r="23" spans="1:22" s="150" customFormat="1" ht="18" customHeight="1">
      <c r="A23" s="144">
        <v>20</v>
      </c>
      <c r="B23" s="325">
        <v>42827</v>
      </c>
      <c r="C23" s="243" t="s">
        <v>520</v>
      </c>
      <c r="D23" s="243" t="s">
        <v>525</v>
      </c>
      <c r="E23" s="243" t="s">
        <v>526</v>
      </c>
      <c r="F23" s="323">
        <v>2030</v>
      </c>
      <c r="G23" s="316">
        <f t="shared" si="3"/>
        <v>26390</v>
      </c>
      <c r="H23" s="324">
        <v>2.81</v>
      </c>
      <c r="I23" s="320">
        <f t="shared" si="2"/>
        <v>74155.899999999994</v>
      </c>
      <c r="J23" s="842"/>
      <c r="K23" s="822"/>
      <c r="L23" s="844"/>
      <c r="M23" s="842"/>
      <c r="N23" s="866"/>
      <c r="O23" s="865"/>
      <c r="P23" s="865"/>
      <c r="Q23" s="865"/>
      <c r="R23" s="865"/>
      <c r="S23" s="253" t="s">
        <v>400</v>
      </c>
      <c r="T23" s="254">
        <v>1733331.5999999999</v>
      </c>
      <c r="U23" s="255">
        <v>1969695000</v>
      </c>
      <c r="V23" s="144"/>
    </row>
    <row r="24" spans="1:22" s="150" customFormat="1" ht="18" customHeight="1">
      <c r="A24" s="144">
        <v>21</v>
      </c>
      <c r="B24" s="325">
        <v>42827</v>
      </c>
      <c r="C24" s="243" t="s">
        <v>520</v>
      </c>
      <c r="D24" s="243" t="s">
        <v>527</v>
      </c>
      <c r="E24" s="243" t="s">
        <v>528</v>
      </c>
      <c r="F24" s="323">
        <v>2030</v>
      </c>
      <c r="G24" s="316">
        <f t="shared" si="3"/>
        <v>26390</v>
      </c>
      <c r="H24" s="324">
        <v>2.81</v>
      </c>
      <c r="I24" s="320">
        <f t="shared" si="2"/>
        <v>74155.899999999994</v>
      </c>
      <c r="J24" s="842"/>
      <c r="K24" s="822"/>
      <c r="L24" s="844"/>
      <c r="M24" s="842"/>
      <c r="N24" s="866"/>
      <c r="O24" s="865"/>
      <c r="P24" s="865"/>
      <c r="Q24" s="865"/>
      <c r="R24" s="865"/>
      <c r="S24" s="253" t="s">
        <v>131</v>
      </c>
      <c r="T24" s="254">
        <v>646731.79999999993</v>
      </c>
      <c r="U24" s="255">
        <v>734922500</v>
      </c>
      <c r="V24" s="144"/>
    </row>
    <row r="25" spans="1:22" s="150" customFormat="1" ht="18" customHeight="1">
      <c r="A25" s="144">
        <v>22</v>
      </c>
      <c r="B25" s="325">
        <v>42827</v>
      </c>
      <c r="C25" s="243" t="s">
        <v>520</v>
      </c>
      <c r="D25" s="243" t="s">
        <v>529</v>
      </c>
      <c r="E25" s="243" t="s">
        <v>530</v>
      </c>
      <c r="F25" s="323">
        <v>2030</v>
      </c>
      <c r="G25" s="316">
        <f t="shared" si="3"/>
        <v>26390</v>
      </c>
      <c r="H25" s="324">
        <v>2.81</v>
      </c>
      <c r="I25" s="320">
        <f t="shared" si="2"/>
        <v>74155.899999999994</v>
      </c>
      <c r="J25" s="842"/>
      <c r="K25" s="822"/>
      <c r="L25" s="844"/>
      <c r="M25" s="842"/>
      <c r="N25" s="866"/>
      <c r="O25" s="865"/>
      <c r="P25" s="865"/>
      <c r="Q25" s="865"/>
      <c r="R25" s="865"/>
      <c r="S25" s="253" t="s">
        <v>395</v>
      </c>
      <c r="T25" s="254">
        <v>858857.99999999988</v>
      </c>
      <c r="U25" s="255">
        <v>975975000</v>
      </c>
      <c r="V25" s="144"/>
    </row>
    <row r="26" spans="1:22" s="150" customFormat="1" ht="18" customHeight="1">
      <c r="A26" s="144">
        <v>23</v>
      </c>
      <c r="B26" s="325">
        <v>42827</v>
      </c>
      <c r="C26" s="243" t="s">
        <v>520</v>
      </c>
      <c r="D26" s="243" t="s">
        <v>531</v>
      </c>
      <c r="E26" s="243" t="s">
        <v>532</v>
      </c>
      <c r="F26" s="323">
        <v>2030</v>
      </c>
      <c r="G26" s="316">
        <f t="shared" si="3"/>
        <v>26390</v>
      </c>
      <c r="H26" s="324">
        <v>2.81</v>
      </c>
      <c r="I26" s="320">
        <f t="shared" si="2"/>
        <v>74155.899999999994</v>
      </c>
      <c r="J26" s="831"/>
      <c r="K26" s="822"/>
      <c r="L26" s="845"/>
      <c r="M26" s="831"/>
      <c r="N26" s="866"/>
      <c r="O26" s="865"/>
      <c r="P26" s="865"/>
      <c r="Q26" s="865"/>
      <c r="R26" s="865"/>
      <c r="S26" s="253" t="s">
        <v>56</v>
      </c>
      <c r="T26" s="254">
        <v>1060461.5999999999</v>
      </c>
      <c r="U26" s="255">
        <v>1205070000</v>
      </c>
      <c r="V26" s="343">
        <f>R21-SUM(T21:U26)-K45</f>
        <v>-1784009.4000015259</v>
      </c>
    </row>
    <row r="27" spans="1:22" s="437" customFormat="1" ht="18" customHeight="1">
      <c r="A27" s="144">
        <v>24</v>
      </c>
      <c r="B27" s="433">
        <v>42832</v>
      </c>
      <c r="C27" s="434" t="s">
        <v>533</v>
      </c>
      <c r="D27" s="434" t="s">
        <v>534</v>
      </c>
      <c r="E27" s="434">
        <v>5369734</v>
      </c>
      <c r="F27" s="435">
        <v>2030</v>
      </c>
      <c r="G27" s="435">
        <f t="shared" si="3"/>
        <v>26390</v>
      </c>
      <c r="H27" s="436">
        <v>2.81</v>
      </c>
      <c r="I27" s="436">
        <f t="shared" si="2"/>
        <v>74155.899999999994</v>
      </c>
      <c r="J27" s="904">
        <f>SUM(I27:I32)</f>
        <v>444935.4</v>
      </c>
      <c r="K27" s="822"/>
      <c r="L27" s="910">
        <v>42907</v>
      </c>
      <c r="M27" s="904">
        <f>12+110</f>
        <v>122</v>
      </c>
      <c r="N27" s="904">
        <f>J27-M27</f>
        <v>444813.4</v>
      </c>
      <c r="O27" s="907">
        <v>22660</v>
      </c>
      <c r="P27" s="907">
        <f>N27*O27</f>
        <v>10079471644</v>
      </c>
      <c r="Q27" s="907"/>
      <c r="R27" s="907">
        <f>P27-Q27</f>
        <v>10079471644</v>
      </c>
      <c r="S27" s="253" t="s">
        <v>391</v>
      </c>
      <c r="T27" s="255">
        <v>11238240</v>
      </c>
      <c r="U27" s="255"/>
      <c r="V27" s="432"/>
    </row>
    <row r="28" spans="1:22" s="437" customFormat="1" ht="18" customHeight="1">
      <c r="A28" s="144">
        <v>25</v>
      </c>
      <c r="B28" s="433">
        <v>42832</v>
      </c>
      <c r="C28" s="434" t="s">
        <v>533</v>
      </c>
      <c r="D28" s="434" t="s">
        <v>535</v>
      </c>
      <c r="E28" s="434">
        <v>5369739</v>
      </c>
      <c r="F28" s="435">
        <v>2030</v>
      </c>
      <c r="G28" s="435">
        <f t="shared" si="3"/>
        <v>26390</v>
      </c>
      <c r="H28" s="436">
        <v>2.81</v>
      </c>
      <c r="I28" s="436">
        <f t="shared" si="2"/>
        <v>74155.899999999994</v>
      </c>
      <c r="J28" s="905"/>
      <c r="K28" s="822"/>
      <c r="L28" s="911"/>
      <c r="M28" s="905"/>
      <c r="N28" s="905"/>
      <c r="O28" s="908"/>
      <c r="P28" s="908"/>
      <c r="Q28" s="908"/>
      <c r="R28" s="908"/>
      <c r="S28" s="256" t="s">
        <v>743</v>
      </c>
      <c r="T28" s="254">
        <v>27192000</v>
      </c>
      <c r="U28" s="255"/>
      <c r="V28" s="432"/>
    </row>
    <row r="29" spans="1:22" s="437" customFormat="1" ht="18" customHeight="1">
      <c r="A29" s="144">
        <v>26</v>
      </c>
      <c r="B29" s="433">
        <v>42832</v>
      </c>
      <c r="C29" s="434" t="s">
        <v>533</v>
      </c>
      <c r="D29" s="434" t="s">
        <v>536</v>
      </c>
      <c r="E29" s="434">
        <v>5369881</v>
      </c>
      <c r="F29" s="435">
        <v>2030</v>
      </c>
      <c r="G29" s="435">
        <f t="shared" si="3"/>
        <v>26390</v>
      </c>
      <c r="H29" s="436">
        <v>2.81</v>
      </c>
      <c r="I29" s="436">
        <f t="shared" si="2"/>
        <v>74155.899999999994</v>
      </c>
      <c r="J29" s="905"/>
      <c r="K29" s="822"/>
      <c r="L29" s="911"/>
      <c r="M29" s="905"/>
      <c r="N29" s="905"/>
      <c r="O29" s="908"/>
      <c r="P29" s="908"/>
      <c r="Q29" s="908"/>
      <c r="R29" s="908"/>
      <c r="S29" s="253" t="s">
        <v>744</v>
      </c>
      <c r="T29" s="254">
        <v>1100000</v>
      </c>
      <c r="U29" s="255">
        <v>2000000000</v>
      </c>
      <c r="V29" s="432"/>
    </row>
    <row r="30" spans="1:22" s="437" customFormat="1" ht="18" customHeight="1">
      <c r="A30" s="144">
        <v>27</v>
      </c>
      <c r="B30" s="433">
        <v>42832</v>
      </c>
      <c r="C30" s="434" t="s">
        <v>533</v>
      </c>
      <c r="D30" s="434" t="s">
        <v>537</v>
      </c>
      <c r="E30" s="434">
        <v>5369889</v>
      </c>
      <c r="F30" s="435">
        <v>2030</v>
      </c>
      <c r="G30" s="435">
        <f t="shared" si="3"/>
        <v>26390</v>
      </c>
      <c r="H30" s="436">
        <v>2.81</v>
      </c>
      <c r="I30" s="436">
        <f t="shared" si="2"/>
        <v>74155.899999999994</v>
      </c>
      <c r="J30" s="905"/>
      <c r="K30" s="822"/>
      <c r="L30" s="911"/>
      <c r="M30" s="905"/>
      <c r="N30" s="905"/>
      <c r="O30" s="908"/>
      <c r="P30" s="908"/>
      <c r="Q30" s="908"/>
      <c r="R30" s="908"/>
      <c r="S30" s="253" t="s">
        <v>729</v>
      </c>
      <c r="T30" s="254">
        <v>660000</v>
      </c>
      <c r="U30" s="255">
        <v>2000000000</v>
      </c>
      <c r="V30" s="432"/>
    </row>
    <row r="31" spans="1:22" s="437" customFormat="1" ht="18" customHeight="1">
      <c r="A31" s="144">
        <v>28</v>
      </c>
      <c r="B31" s="433">
        <v>42832</v>
      </c>
      <c r="C31" s="434" t="s">
        <v>533</v>
      </c>
      <c r="D31" s="434" t="s">
        <v>538</v>
      </c>
      <c r="E31" s="434">
        <v>4843224</v>
      </c>
      <c r="F31" s="435">
        <v>2030</v>
      </c>
      <c r="G31" s="435">
        <f t="shared" si="3"/>
        <v>26390</v>
      </c>
      <c r="H31" s="436">
        <v>2.81</v>
      </c>
      <c r="I31" s="436">
        <f t="shared" si="2"/>
        <v>74155.899999999994</v>
      </c>
      <c r="J31" s="905"/>
      <c r="K31" s="822"/>
      <c r="L31" s="911"/>
      <c r="M31" s="905"/>
      <c r="N31" s="905"/>
      <c r="O31" s="908"/>
      <c r="P31" s="908"/>
      <c r="Q31" s="908"/>
      <c r="R31" s="908"/>
      <c r="S31" s="253" t="s">
        <v>572</v>
      </c>
      <c r="T31" s="254">
        <v>660000</v>
      </c>
      <c r="U31" s="255">
        <v>2000000000</v>
      </c>
      <c r="V31" s="432"/>
    </row>
    <row r="32" spans="1:22" s="437" customFormat="1" ht="18" customHeight="1">
      <c r="A32" s="144">
        <v>29</v>
      </c>
      <c r="B32" s="433">
        <v>42832</v>
      </c>
      <c r="C32" s="434" t="s">
        <v>533</v>
      </c>
      <c r="D32" s="434" t="s">
        <v>539</v>
      </c>
      <c r="E32" s="434">
        <v>4848160</v>
      </c>
      <c r="F32" s="435">
        <v>2030</v>
      </c>
      <c r="G32" s="435">
        <f t="shared" si="3"/>
        <v>26390</v>
      </c>
      <c r="H32" s="436">
        <v>2.81</v>
      </c>
      <c r="I32" s="436">
        <f t="shared" si="2"/>
        <v>74155.899999999994</v>
      </c>
      <c r="J32" s="906"/>
      <c r="K32" s="823"/>
      <c r="L32" s="912"/>
      <c r="M32" s="906"/>
      <c r="N32" s="906"/>
      <c r="O32" s="909"/>
      <c r="P32" s="909"/>
      <c r="Q32" s="909"/>
      <c r="R32" s="909"/>
      <c r="S32" s="256" t="s">
        <v>56</v>
      </c>
      <c r="T32" s="254">
        <v>1500000</v>
      </c>
      <c r="U32" s="255">
        <v>3529000000</v>
      </c>
      <c r="V32" s="438">
        <f>V44+R27-SUM(T27:U32)-K85</f>
        <v>-53610.60000038147</v>
      </c>
    </row>
    <row r="33" spans="1:22" s="150" customFormat="1" ht="18" customHeight="1">
      <c r="A33" s="144">
        <v>30</v>
      </c>
      <c r="B33" s="300">
        <v>42839</v>
      </c>
      <c r="C33" s="243" t="s">
        <v>540</v>
      </c>
      <c r="D33" s="245" t="s">
        <v>541</v>
      </c>
      <c r="E33" s="243">
        <v>4872567</v>
      </c>
      <c r="F33" s="327">
        <v>2030</v>
      </c>
      <c r="G33" s="327">
        <f t="shared" ref="G33:G36" si="4">F33*13</f>
        <v>26390</v>
      </c>
      <c r="H33" s="292">
        <v>2.71</v>
      </c>
      <c r="I33" s="320">
        <f t="shared" si="2"/>
        <v>71516.899999999994</v>
      </c>
      <c r="J33" s="830">
        <f>SUM(I33:I36)</f>
        <v>286067.59999999998</v>
      </c>
      <c r="K33" s="821">
        <f>4*51000000</f>
        <v>204000000</v>
      </c>
      <c r="L33" s="843">
        <v>42864</v>
      </c>
      <c r="M33" s="830">
        <v>12</v>
      </c>
      <c r="N33" s="830">
        <f>J33-M33</f>
        <v>286055.59999999998</v>
      </c>
      <c r="O33" s="821">
        <v>22630</v>
      </c>
      <c r="P33" s="821">
        <f>N33*O33</f>
        <v>6473438227.999999</v>
      </c>
      <c r="Q33" s="821">
        <v>2504700</v>
      </c>
      <c r="R33" s="821">
        <f>P33-Q33</f>
        <v>6470933527.999999</v>
      </c>
      <c r="S33" s="253" t="s">
        <v>397</v>
      </c>
      <c r="T33" s="254">
        <v>1231230</v>
      </c>
      <c r="U33" s="255">
        <v>1399125000</v>
      </c>
      <c r="V33" s="343"/>
    </row>
    <row r="34" spans="1:22" s="150" customFormat="1" ht="18" customHeight="1">
      <c r="A34" s="144">
        <v>31</v>
      </c>
      <c r="B34" s="344">
        <v>42839</v>
      </c>
      <c r="C34" s="243" t="s">
        <v>540</v>
      </c>
      <c r="D34" s="243" t="s">
        <v>542</v>
      </c>
      <c r="E34" s="243">
        <v>4872696</v>
      </c>
      <c r="F34" s="327">
        <v>2030</v>
      </c>
      <c r="G34" s="327">
        <f t="shared" si="4"/>
        <v>26390</v>
      </c>
      <c r="H34" s="328">
        <v>2.71</v>
      </c>
      <c r="I34" s="320">
        <f t="shared" si="2"/>
        <v>71516.899999999994</v>
      </c>
      <c r="J34" s="842"/>
      <c r="K34" s="822"/>
      <c r="L34" s="844"/>
      <c r="M34" s="842"/>
      <c r="N34" s="842"/>
      <c r="O34" s="822"/>
      <c r="P34" s="822"/>
      <c r="Q34" s="822"/>
      <c r="R34" s="822"/>
      <c r="S34" s="256" t="s">
        <v>394</v>
      </c>
      <c r="T34" s="254">
        <v>376750</v>
      </c>
      <c r="U34" s="255">
        <v>662146000</v>
      </c>
      <c r="V34" s="144"/>
    </row>
    <row r="35" spans="1:22" s="150" customFormat="1" ht="18" customHeight="1">
      <c r="A35" s="144">
        <v>32</v>
      </c>
      <c r="B35" s="344">
        <v>42839</v>
      </c>
      <c r="C35" s="243" t="s">
        <v>540</v>
      </c>
      <c r="D35" s="243" t="s">
        <v>543</v>
      </c>
      <c r="E35" s="243">
        <v>4840710</v>
      </c>
      <c r="F35" s="327">
        <v>2030</v>
      </c>
      <c r="G35" s="327">
        <f t="shared" si="4"/>
        <v>26390</v>
      </c>
      <c r="H35" s="328">
        <v>2.71</v>
      </c>
      <c r="I35" s="320">
        <f t="shared" si="2"/>
        <v>71516.899999999994</v>
      </c>
      <c r="J35" s="842"/>
      <c r="K35" s="822"/>
      <c r="L35" s="844"/>
      <c r="M35" s="842"/>
      <c r="N35" s="842"/>
      <c r="O35" s="822"/>
      <c r="P35" s="822"/>
      <c r="Q35" s="822"/>
      <c r="R35" s="822"/>
      <c r="S35" s="256" t="s">
        <v>572</v>
      </c>
      <c r="T35" s="254">
        <v>1100000</v>
      </c>
      <c r="U35" s="255">
        <v>3975000000</v>
      </c>
      <c r="V35" s="144"/>
    </row>
    <row r="36" spans="1:22" s="150" customFormat="1" ht="18" customHeight="1">
      <c r="A36" s="144">
        <v>33</v>
      </c>
      <c r="B36" s="344">
        <v>42839</v>
      </c>
      <c r="C36" s="243" t="s">
        <v>540</v>
      </c>
      <c r="D36" s="243" t="s">
        <v>544</v>
      </c>
      <c r="E36" s="243">
        <v>4872619</v>
      </c>
      <c r="F36" s="327">
        <v>2030</v>
      </c>
      <c r="G36" s="327">
        <f t="shared" si="4"/>
        <v>26390</v>
      </c>
      <c r="H36" s="328">
        <v>2.71</v>
      </c>
      <c r="I36" s="320">
        <f t="shared" si="2"/>
        <v>71516.899999999994</v>
      </c>
      <c r="J36" s="842"/>
      <c r="K36" s="823"/>
      <c r="L36" s="845"/>
      <c r="M36" s="831"/>
      <c r="N36" s="831"/>
      <c r="O36" s="823"/>
      <c r="P36" s="823"/>
      <c r="Q36" s="823"/>
      <c r="R36" s="823"/>
      <c r="S36" s="253" t="s">
        <v>391</v>
      </c>
      <c r="T36" s="255">
        <v>22167600</v>
      </c>
      <c r="U36" s="255"/>
      <c r="V36" s="343">
        <f>R33-SUM(T33:U36)-K37</f>
        <v>1786947.9999990463</v>
      </c>
    </row>
    <row r="37" spans="1:22" s="150" customFormat="1" ht="18" customHeight="1">
      <c r="A37" s="144">
        <v>34</v>
      </c>
      <c r="B37" s="300">
        <v>42846</v>
      </c>
      <c r="C37" s="243" t="s">
        <v>596</v>
      </c>
      <c r="D37" s="245" t="s">
        <v>597</v>
      </c>
      <c r="E37" s="243">
        <v>5388974</v>
      </c>
      <c r="F37" s="294">
        <v>2030</v>
      </c>
      <c r="G37" s="316">
        <f t="shared" si="3"/>
        <v>26390</v>
      </c>
      <c r="H37" s="292">
        <v>1.9</v>
      </c>
      <c r="I37" s="320">
        <f t="shared" si="2"/>
        <v>50141</v>
      </c>
      <c r="J37" s="830">
        <f>SUM(I37:I44)</f>
        <v>544219.19999999995</v>
      </c>
      <c r="K37" s="821">
        <f>8*51000000</f>
        <v>408000000</v>
      </c>
      <c r="L37" s="843">
        <v>42873</v>
      </c>
      <c r="M37" s="830">
        <v>12</v>
      </c>
      <c r="N37" s="830">
        <f>SUM(I37:I39)-M37</f>
        <v>174747.2</v>
      </c>
      <c r="O37" s="821">
        <v>22610</v>
      </c>
      <c r="P37" s="821">
        <f>N37*O37</f>
        <v>3951034192.0000005</v>
      </c>
      <c r="Q37" s="821">
        <v>2183641</v>
      </c>
      <c r="R37" s="821">
        <f>P37-Q37</f>
        <v>3948850551.0000005</v>
      </c>
      <c r="S37" s="253" t="s">
        <v>644</v>
      </c>
      <c r="T37" s="254"/>
      <c r="U37" s="255">
        <v>3500000000</v>
      </c>
      <c r="V37" s="144"/>
    </row>
    <row r="38" spans="1:22" s="150" customFormat="1" ht="18" customHeight="1">
      <c r="A38" s="144">
        <v>35</v>
      </c>
      <c r="B38" s="347">
        <v>42846</v>
      </c>
      <c r="C38" s="243" t="s">
        <v>596</v>
      </c>
      <c r="D38" s="243" t="s">
        <v>598</v>
      </c>
      <c r="E38" s="243">
        <v>5362740</v>
      </c>
      <c r="F38" s="294">
        <v>1907</v>
      </c>
      <c r="G38" s="316">
        <f>F38*14</f>
        <v>26698</v>
      </c>
      <c r="H38" s="292">
        <v>1.9</v>
      </c>
      <c r="I38" s="320">
        <f t="shared" si="2"/>
        <v>50726.2</v>
      </c>
      <c r="J38" s="842"/>
      <c r="K38" s="822"/>
      <c r="L38" s="844"/>
      <c r="M38" s="842"/>
      <c r="N38" s="842"/>
      <c r="O38" s="822"/>
      <c r="P38" s="822"/>
      <c r="Q38" s="822"/>
      <c r="R38" s="822"/>
      <c r="S38" s="529" t="s">
        <v>737</v>
      </c>
      <c r="T38" s="530"/>
      <c r="U38" s="530">
        <v>-200000000</v>
      </c>
      <c r="V38" s="144"/>
    </row>
    <row r="39" spans="1:22" s="150" customFormat="1" ht="18" customHeight="1">
      <c r="A39" s="144">
        <v>36</v>
      </c>
      <c r="B39" s="347">
        <v>42846</v>
      </c>
      <c r="C39" s="243" t="s">
        <v>596</v>
      </c>
      <c r="D39" s="243" t="s">
        <v>599</v>
      </c>
      <c r="E39" s="243">
        <v>5362858</v>
      </c>
      <c r="F39" s="294">
        <v>2030</v>
      </c>
      <c r="G39" s="316">
        <f t="shared" si="3"/>
        <v>26390</v>
      </c>
      <c r="H39" s="292">
        <v>2.8</v>
      </c>
      <c r="I39" s="320">
        <f t="shared" si="2"/>
        <v>73892</v>
      </c>
      <c r="J39" s="842"/>
      <c r="K39" s="822"/>
      <c r="L39" s="845"/>
      <c r="M39" s="831"/>
      <c r="N39" s="831"/>
      <c r="O39" s="823"/>
      <c r="P39" s="823"/>
      <c r="Q39" s="823"/>
      <c r="R39" s="823"/>
      <c r="S39" s="256"/>
      <c r="T39" s="254"/>
      <c r="U39" s="255"/>
      <c r="V39" s="343">
        <f>R37-SUM(T37:U39)-K57</f>
        <v>342850551.00000048</v>
      </c>
    </row>
    <row r="40" spans="1:22" s="150" customFormat="1" ht="18" customHeight="1">
      <c r="A40" s="144">
        <v>37</v>
      </c>
      <c r="B40" s="347">
        <v>42846</v>
      </c>
      <c r="C40" s="243" t="s">
        <v>596</v>
      </c>
      <c r="D40" s="243" t="s">
        <v>600</v>
      </c>
      <c r="E40" s="243">
        <v>5376159</v>
      </c>
      <c r="F40" s="345">
        <v>2030</v>
      </c>
      <c r="G40" s="316">
        <f t="shared" si="3"/>
        <v>26390</v>
      </c>
      <c r="H40" s="346">
        <v>2.8</v>
      </c>
      <c r="I40" s="320">
        <f t="shared" si="2"/>
        <v>73892</v>
      </c>
      <c r="J40" s="842"/>
      <c r="K40" s="822"/>
      <c r="L40" s="843">
        <v>42892</v>
      </c>
      <c r="M40" s="830">
        <v>12</v>
      </c>
      <c r="N40" s="830">
        <f>SUM(I40:I44)-M40</f>
        <v>369448</v>
      </c>
      <c r="O40" s="821">
        <v>22610</v>
      </c>
      <c r="P40" s="821">
        <f>N40*O40</f>
        <v>8353219280</v>
      </c>
      <c r="Q40" s="821">
        <v>2502500</v>
      </c>
      <c r="R40" s="821">
        <f>P40-Q40</f>
        <v>8350716780</v>
      </c>
      <c r="S40" s="256" t="s">
        <v>547</v>
      </c>
      <c r="T40" s="254">
        <f t="shared" ref="T40" si="5">U40*0.088%</f>
        <v>2508105.5999999996</v>
      </c>
      <c r="U40" s="255">
        <v>2850120000</v>
      </c>
      <c r="V40" s="144"/>
    </row>
    <row r="41" spans="1:22" s="150" customFormat="1" ht="18" customHeight="1">
      <c r="A41" s="144">
        <v>38</v>
      </c>
      <c r="B41" s="347">
        <v>42846</v>
      </c>
      <c r="C41" s="243" t="s">
        <v>596</v>
      </c>
      <c r="D41" s="243" t="s">
        <v>601</v>
      </c>
      <c r="E41" s="243">
        <v>5388964</v>
      </c>
      <c r="F41" s="345">
        <v>2030</v>
      </c>
      <c r="G41" s="316">
        <f t="shared" si="3"/>
        <v>26390</v>
      </c>
      <c r="H41" s="346">
        <v>2.8</v>
      </c>
      <c r="I41" s="320">
        <f t="shared" si="2"/>
        <v>73892</v>
      </c>
      <c r="J41" s="842"/>
      <c r="K41" s="822"/>
      <c r="L41" s="844"/>
      <c r="M41" s="842"/>
      <c r="N41" s="842"/>
      <c r="O41" s="822"/>
      <c r="P41" s="822"/>
      <c r="Q41" s="822"/>
      <c r="R41" s="822"/>
      <c r="S41" s="253" t="s">
        <v>729</v>
      </c>
      <c r="T41" s="254">
        <v>1100000</v>
      </c>
      <c r="U41" s="255">
        <v>4690000000</v>
      </c>
      <c r="V41" s="243"/>
    </row>
    <row r="42" spans="1:22" s="150" customFormat="1" ht="18" customHeight="1">
      <c r="A42" s="144">
        <v>39</v>
      </c>
      <c r="B42" s="347">
        <v>42846</v>
      </c>
      <c r="C42" s="243" t="s">
        <v>596</v>
      </c>
      <c r="D42" s="243" t="s">
        <v>602</v>
      </c>
      <c r="E42" s="243">
        <v>5376157</v>
      </c>
      <c r="F42" s="345">
        <v>2030</v>
      </c>
      <c r="G42" s="316">
        <f t="shared" si="3"/>
        <v>26390</v>
      </c>
      <c r="H42" s="346">
        <v>2.8</v>
      </c>
      <c r="I42" s="320">
        <f t="shared" si="2"/>
        <v>73892</v>
      </c>
      <c r="J42" s="842"/>
      <c r="K42" s="822"/>
      <c r="L42" s="844"/>
      <c r="M42" s="842"/>
      <c r="N42" s="842"/>
      <c r="O42" s="822"/>
      <c r="P42" s="822"/>
      <c r="Q42" s="822"/>
      <c r="R42" s="822"/>
      <c r="S42" s="253" t="s">
        <v>1134</v>
      </c>
      <c r="T42" s="254">
        <v>19194240</v>
      </c>
      <c r="U42" s="255"/>
      <c r="V42" s="243"/>
    </row>
    <row r="43" spans="1:22" s="150" customFormat="1" ht="18" customHeight="1">
      <c r="A43" s="144">
        <v>40</v>
      </c>
      <c r="B43" s="347">
        <v>42846</v>
      </c>
      <c r="C43" s="243" t="s">
        <v>596</v>
      </c>
      <c r="D43" s="243" t="s">
        <v>603</v>
      </c>
      <c r="E43" s="243">
        <v>5376158</v>
      </c>
      <c r="F43" s="345">
        <v>2030</v>
      </c>
      <c r="G43" s="316">
        <f t="shared" si="3"/>
        <v>26390</v>
      </c>
      <c r="H43" s="346">
        <v>2.8</v>
      </c>
      <c r="I43" s="320">
        <f t="shared" si="2"/>
        <v>73892</v>
      </c>
      <c r="J43" s="842"/>
      <c r="K43" s="822"/>
      <c r="L43" s="844"/>
      <c r="M43" s="842"/>
      <c r="N43" s="842"/>
      <c r="O43" s="822"/>
      <c r="P43" s="822"/>
      <c r="Q43" s="822"/>
      <c r="R43" s="822"/>
      <c r="S43" s="253" t="s">
        <v>726</v>
      </c>
      <c r="T43" s="254">
        <v>6000000</v>
      </c>
      <c r="U43" s="254"/>
      <c r="V43" s="243"/>
    </row>
    <row r="44" spans="1:22" s="150" customFormat="1" ht="18" customHeight="1">
      <c r="A44" s="144">
        <v>41</v>
      </c>
      <c r="B44" s="347">
        <v>42846</v>
      </c>
      <c r="C44" s="243" t="s">
        <v>596</v>
      </c>
      <c r="D44" s="243" t="s">
        <v>604</v>
      </c>
      <c r="E44" s="243">
        <v>5362891</v>
      </c>
      <c r="F44" s="345">
        <v>2030</v>
      </c>
      <c r="G44" s="316">
        <f t="shared" si="3"/>
        <v>26390</v>
      </c>
      <c r="H44" s="346">
        <v>2.8</v>
      </c>
      <c r="I44" s="320">
        <f t="shared" si="2"/>
        <v>73892</v>
      </c>
      <c r="J44" s="831"/>
      <c r="K44" s="823"/>
      <c r="L44" s="845"/>
      <c r="M44" s="831"/>
      <c r="N44" s="831"/>
      <c r="O44" s="823"/>
      <c r="P44" s="823"/>
      <c r="Q44" s="823"/>
      <c r="R44" s="823"/>
      <c r="S44" s="253" t="s">
        <v>727</v>
      </c>
      <c r="T44" s="254">
        <v>820000</v>
      </c>
      <c r="U44" s="254"/>
      <c r="V44" s="343">
        <f>V39+R40-SUM(T40:U44)-K63</f>
        <v>1824985.3999996185</v>
      </c>
    </row>
    <row r="45" spans="1:22" s="448" customFormat="1" ht="18" customHeight="1">
      <c r="A45" s="144">
        <v>42</v>
      </c>
      <c r="B45" s="440">
        <v>42860</v>
      </c>
      <c r="C45" s="441" t="s">
        <v>605</v>
      </c>
      <c r="D45" s="441" t="s">
        <v>606</v>
      </c>
      <c r="E45" s="441">
        <v>5362888</v>
      </c>
      <c r="F45" s="443">
        <v>2030</v>
      </c>
      <c r="G45" s="443">
        <f t="shared" si="3"/>
        <v>26390</v>
      </c>
      <c r="H45" s="457">
        <v>2.8</v>
      </c>
      <c r="I45" s="457">
        <f t="shared" si="2"/>
        <v>73892</v>
      </c>
      <c r="J45" s="913">
        <f>SUM(I45:I50)</f>
        <v>443352</v>
      </c>
      <c r="K45" s="821">
        <f>12*51000000+14622660</f>
        <v>626622660</v>
      </c>
      <c r="L45" s="916">
        <v>42915</v>
      </c>
      <c r="M45" s="913">
        <v>12</v>
      </c>
      <c r="N45" s="913">
        <f>J45-M45</f>
        <v>443340</v>
      </c>
      <c r="O45" s="898">
        <v>22655</v>
      </c>
      <c r="P45" s="898">
        <f>N45*O45</f>
        <v>10043867700</v>
      </c>
      <c r="Q45" s="898">
        <v>2505800</v>
      </c>
      <c r="R45" s="898">
        <f>P45-Q45</f>
        <v>10041361900</v>
      </c>
      <c r="S45" s="464" t="s">
        <v>747</v>
      </c>
      <c r="T45" s="465"/>
      <c r="U45" s="465">
        <v>500000000</v>
      </c>
      <c r="V45" s="441"/>
    </row>
    <row r="46" spans="1:22" s="448" customFormat="1" ht="18" customHeight="1">
      <c r="A46" s="144">
        <v>43</v>
      </c>
      <c r="B46" s="440">
        <v>42860</v>
      </c>
      <c r="C46" s="441" t="s">
        <v>605</v>
      </c>
      <c r="D46" s="441" t="s">
        <v>607</v>
      </c>
      <c r="E46" s="441">
        <v>5362848</v>
      </c>
      <c r="F46" s="443">
        <v>2030</v>
      </c>
      <c r="G46" s="443">
        <f t="shared" si="3"/>
        <v>26390</v>
      </c>
      <c r="H46" s="457">
        <v>2.8</v>
      </c>
      <c r="I46" s="457">
        <f t="shared" si="2"/>
        <v>73892</v>
      </c>
      <c r="J46" s="914"/>
      <c r="K46" s="822"/>
      <c r="L46" s="917"/>
      <c r="M46" s="914"/>
      <c r="N46" s="914"/>
      <c r="O46" s="899"/>
      <c r="P46" s="899"/>
      <c r="Q46" s="899"/>
      <c r="R46" s="899"/>
      <c r="S46" s="458" t="s">
        <v>406</v>
      </c>
      <c r="T46" s="451">
        <v>1100000</v>
      </c>
      <c r="U46" s="451">
        <v>1041040000</v>
      </c>
      <c r="V46" s="441"/>
    </row>
    <row r="47" spans="1:22" s="448" customFormat="1" ht="18" customHeight="1">
      <c r="A47" s="144">
        <v>44</v>
      </c>
      <c r="B47" s="440">
        <v>42860</v>
      </c>
      <c r="C47" s="441" t="s">
        <v>605</v>
      </c>
      <c r="D47" s="441" t="s">
        <v>608</v>
      </c>
      <c r="E47" s="441">
        <v>5362729</v>
      </c>
      <c r="F47" s="443">
        <v>2030</v>
      </c>
      <c r="G47" s="443">
        <f t="shared" si="3"/>
        <v>26390</v>
      </c>
      <c r="H47" s="457">
        <v>2.8</v>
      </c>
      <c r="I47" s="457">
        <f t="shared" si="2"/>
        <v>73892</v>
      </c>
      <c r="J47" s="914"/>
      <c r="K47" s="822"/>
      <c r="L47" s="917"/>
      <c r="M47" s="914"/>
      <c r="N47" s="914"/>
      <c r="O47" s="899"/>
      <c r="P47" s="899"/>
      <c r="Q47" s="899"/>
      <c r="R47" s="899"/>
      <c r="S47" s="459" t="s">
        <v>547</v>
      </c>
      <c r="T47" s="446">
        <v>3769459.1999999997</v>
      </c>
      <c r="U47" s="447">
        <v>4188288000</v>
      </c>
      <c r="V47" s="439"/>
    </row>
    <row r="48" spans="1:22" s="448" customFormat="1" ht="18" customHeight="1">
      <c r="A48" s="144">
        <v>45</v>
      </c>
      <c r="B48" s="440">
        <v>42860</v>
      </c>
      <c r="C48" s="441" t="s">
        <v>605</v>
      </c>
      <c r="D48" s="441" t="s">
        <v>609</v>
      </c>
      <c r="E48" s="441">
        <v>5362540</v>
      </c>
      <c r="F48" s="443">
        <v>2030</v>
      </c>
      <c r="G48" s="443">
        <f t="shared" si="3"/>
        <v>26390</v>
      </c>
      <c r="H48" s="457">
        <v>2.8</v>
      </c>
      <c r="I48" s="457">
        <f t="shared" si="2"/>
        <v>73892</v>
      </c>
      <c r="J48" s="914"/>
      <c r="K48" s="822"/>
      <c r="L48" s="917"/>
      <c r="M48" s="914"/>
      <c r="N48" s="914"/>
      <c r="O48" s="899"/>
      <c r="P48" s="899"/>
      <c r="Q48" s="899"/>
      <c r="R48" s="899"/>
      <c r="S48" s="460" t="s">
        <v>572</v>
      </c>
      <c r="T48" s="446">
        <v>1100000</v>
      </c>
      <c r="U48" s="447">
        <v>2000000000</v>
      </c>
      <c r="V48" s="439"/>
    </row>
    <row r="49" spans="1:22" s="448" customFormat="1" ht="18" customHeight="1">
      <c r="A49" s="144">
        <v>46</v>
      </c>
      <c r="B49" s="440">
        <v>42860</v>
      </c>
      <c r="C49" s="441" t="s">
        <v>605</v>
      </c>
      <c r="D49" s="441" t="s">
        <v>610</v>
      </c>
      <c r="E49" s="441">
        <v>5362725</v>
      </c>
      <c r="F49" s="443">
        <v>2030</v>
      </c>
      <c r="G49" s="443">
        <f t="shared" si="3"/>
        <v>26390</v>
      </c>
      <c r="H49" s="457">
        <v>2.8</v>
      </c>
      <c r="I49" s="457">
        <f t="shared" si="2"/>
        <v>73892</v>
      </c>
      <c r="J49" s="914"/>
      <c r="K49" s="822"/>
      <c r="L49" s="917"/>
      <c r="M49" s="914"/>
      <c r="N49" s="914"/>
      <c r="O49" s="899"/>
      <c r="P49" s="899"/>
      <c r="Q49" s="899"/>
      <c r="R49" s="899"/>
      <c r="S49" s="460" t="s">
        <v>56</v>
      </c>
      <c r="T49" s="446">
        <v>1100000</v>
      </c>
      <c r="U49" s="447">
        <v>2309400000</v>
      </c>
      <c r="V49" s="439"/>
    </row>
    <row r="50" spans="1:22" s="448" customFormat="1" ht="18" customHeight="1">
      <c r="A50" s="144">
        <v>47</v>
      </c>
      <c r="B50" s="440">
        <v>42860</v>
      </c>
      <c r="C50" s="441" t="s">
        <v>605</v>
      </c>
      <c r="D50" s="441" t="s">
        <v>611</v>
      </c>
      <c r="E50" s="441">
        <v>5362726</v>
      </c>
      <c r="F50" s="443">
        <v>2030</v>
      </c>
      <c r="G50" s="443">
        <f t="shared" si="3"/>
        <v>26390</v>
      </c>
      <c r="H50" s="457">
        <v>2.8</v>
      </c>
      <c r="I50" s="457">
        <f t="shared" si="2"/>
        <v>73892</v>
      </c>
      <c r="J50" s="915"/>
      <c r="K50" s="822"/>
      <c r="L50" s="918"/>
      <c r="M50" s="915"/>
      <c r="N50" s="915"/>
      <c r="O50" s="900"/>
      <c r="P50" s="900"/>
      <c r="Q50" s="900"/>
      <c r="R50" s="900"/>
      <c r="S50" s="443"/>
      <c r="T50" s="443"/>
      <c r="U50" s="443"/>
      <c r="V50" s="461">
        <f>R45-SUM(T45:U50)</f>
        <v>-4435559.2000007629</v>
      </c>
    </row>
    <row r="51" spans="1:22" s="150" customFormat="1" ht="18" customHeight="1">
      <c r="A51" s="144">
        <v>48</v>
      </c>
      <c r="B51" s="385">
        <v>42870</v>
      </c>
      <c r="C51" s="243" t="s">
        <v>612</v>
      </c>
      <c r="D51" s="248" t="s">
        <v>613</v>
      </c>
      <c r="E51" s="248">
        <v>5360242</v>
      </c>
      <c r="F51" s="383">
        <v>2030</v>
      </c>
      <c r="G51" s="383">
        <f t="shared" ref="G51:G62" si="6">F51*13</f>
        <v>26390</v>
      </c>
      <c r="H51" s="299">
        <v>2.65</v>
      </c>
      <c r="I51" s="320">
        <f t="shared" si="2"/>
        <v>69933.5</v>
      </c>
      <c r="J51" s="830">
        <f>SUM(I51:I56)</f>
        <v>419601</v>
      </c>
      <c r="K51" s="822"/>
      <c r="L51" s="843">
        <v>42922</v>
      </c>
      <c r="M51" s="830">
        <f>12+5.09</f>
        <v>17.09</v>
      </c>
      <c r="N51" s="830">
        <f>J51-M51</f>
        <v>419583.91</v>
      </c>
      <c r="O51" s="821">
        <v>22660</v>
      </c>
      <c r="P51" s="821">
        <f>N51*O51</f>
        <v>9507771400.5999985</v>
      </c>
      <c r="Q51" s="821">
        <v>2504700</v>
      </c>
      <c r="R51" s="821">
        <f>P51-Q51</f>
        <v>9505266700.5999985</v>
      </c>
      <c r="S51" s="253" t="s">
        <v>572</v>
      </c>
      <c r="T51" s="255">
        <v>1100000</v>
      </c>
      <c r="U51" s="255">
        <v>2000000000</v>
      </c>
      <c r="V51" s="144"/>
    </row>
    <row r="52" spans="1:22" s="150" customFormat="1" ht="18" customHeight="1">
      <c r="A52" s="144">
        <v>49</v>
      </c>
      <c r="B52" s="385">
        <v>42870</v>
      </c>
      <c r="C52" s="243" t="s">
        <v>612</v>
      </c>
      <c r="D52" s="248" t="s">
        <v>614</v>
      </c>
      <c r="E52" s="248">
        <v>5362508</v>
      </c>
      <c r="F52" s="383">
        <v>2030</v>
      </c>
      <c r="G52" s="383">
        <f t="shared" si="6"/>
        <v>26390</v>
      </c>
      <c r="H52" s="384">
        <v>2.65</v>
      </c>
      <c r="I52" s="320">
        <f t="shared" si="2"/>
        <v>69933.5</v>
      </c>
      <c r="J52" s="842"/>
      <c r="K52" s="822"/>
      <c r="L52" s="844"/>
      <c r="M52" s="842"/>
      <c r="N52" s="842"/>
      <c r="O52" s="822"/>
      <c r="P52" s="822"/>
      <c r="Q52" s="822"/>
      <c r="R52" s="822"/>
      <c r="S52" s="256" t="s">
        <v>547</v>
      </c>
      <c r="T52" s="255">
        <v>1100000</v>
      </c>
      <c r="U52" s="255">
        <v>2784145000</v>
      </c>
      <c r="V52" s="144"/>
    </row>
    <row r="53" spans="1:22" s="150" customFormat="1" ht="18" customHeight="1">
      <c r="A53" s="144">
        <v>50</v>
      </c>
      <c r="B53" s="385">
        <v>42870</v>
      </c>
      <c r="C53" s="243" t="s">
        <v>612</v>
      </c>
      <c r="D53" s="243" t="s">
        <v>615</v>
      </c>
      <c r="E53" s="248">
        <v>5377492</v>
      </c>
      <c r="F53" s="383">
        <v>2030</v>
      </c>
      <c r="G53" s="383">
        <f t="shared" si="6"/>
        <v>26390</v>
      </c>
      <c r="H53" s="384">
        <v>2.65</v>
      </c>
      <c r="I53" s="320">
        <f t="shared" si="2"/>
        <v>69933.5</v>
      </c>
      <c r="J53" s="842"/>
      <c r="K53" s="822"/>
      <c r="L53" s="844"/>
      <c r="M53" s="842"/>
      <c r="N53" s="842"/>
      <c r="O53" s="822"/>
      <c r="P53" s="822"/>
      <c r="Q53" s="822"/>
      <c r="R53" s="822"/>
      <c r="S53" s="256" t="s">
        <v>152</v>
      </c>
      <c r="T53" s="255">
        <v>1100000</v>
      </c>
      <c r="U53" s="255">
        <v>1727752000</v>
      </c>
      <c r="V53" s="144"/>
    </row>
    <row r="54" spans="1:22" s="150" customFormat="1" ht="18" customHeight="1">
      <c r="A54" s="144">
        <v>51</v>
      </c>
      <c r="B54" s="385">
        <v>42870</v>
      </c>
      <c r="C54" s="243" t="s">
        <v>612</v>
      </c>
      <c r="D54" s="248" t="s">
        <v>616</v>
      </c>
      <c r="E54" s="248">
        <v>5367121</v>
      </c>
      <c r="F54" s="383">
        <v>2030</v>
      </c>
      <c r="G54" s="383">
        <f t="shared" si="6"/>
        <v>26390</v>
      </c>
      <c r="H54" s="384">
        <v>2.65</v>
      </c>
      <c r="I54" s="320">
        <f t="shared" si="2"/>
        <v>69933.5</v>
      </c>
      <c r="J54" s="842"/>
      <c r="K54" s="822"/>
      <c r="L54" s="844"/>
      <c r="M54" s="842"/>
      <c r="N54" s="842"/>
      <c r="O54" s="822"/>
      <c r="P54" s="822"/>
      <c r="Q54" s="822"/>
      <c r="R54" s="822"/>
      <c r="S54" s="256" t="s">
        <v>56</v>
      </c>
      <c r="T54" s="255">
        <v>1100000</v>
      </c>
      <c r="U54" s="255">
        <v>2984500000</v>
      </c>
      <c r="V54" s="144"/>
    </row>
    <row r="55" spans="1:22" s="426" customFormat="1" ht="18" customHeight="1">
      <c r="A55" s="144">
        <v>52</v>
      </c>
      <c r="B55" s="417">
        <v>42870</v>
      </c>
      <c r="C55" s="418" t="s">
        <v>612</v>
      </c>
      <c r="D55" s="419" t="s">
        <v>617</v>
      </c>
      <c r="E55" s="419">
        <v>5377496</v>
      </c>
      <c r="F55" s="420">
        <v>2030</v>
      </c>
      <c r="G55" s="420">
        <f t="shared" si="6"/>
        <v>26390</v>
      </c>
      <c r="H55" s="421">
        <v>2.65</v>
      </c>
      <c r="I55" s="422">
        <f t="shared" si="2"/>
        <v>69933.5</v>
      </c>
      <c r="J55" s="842"/>
      <c r="K55" s="822"/>
      <c r="L55" s="844"/>
      <c r="M55" s="842"/>
      <c r="N55" s="842"/>
      <c r="O55" s="822"/>
      <c r="P55" s="822"/>
      <c r="Q55" s="822"/>
      <c r="R55" s="822"/>
      <c r="S55" s="423"/>
      <c r="T55" s="424"/>
      <c r="U55" s="425"/>
      <c r="V55" s="416"/>
    </row>
    <row r="56" spans="1:22" s="150" customFormat="1" ht="18" customHeight="1">
      <c r="A56" s="144">
        <v>53</v>
      </c>
      <c r="B56" s="385">
        <v>42870</v>
      </c>
      <c r="C56" s="243" t="s">
        <v>612</v>
      </c>
      <c r="D56" s="248" t="s">
        <v>618</v>
      </c>
      <c r="E56" s="248">
        <v>5390096</v>
      </c>
      <c r="F56" s="383">
        <v>2030</v>
      </c>
      <c r="G56" s="383">
        <f t="shared" si="6"/>
        <v>26390</v>
      </c>
      <c r="H56" s="384">
        <v>2.65</v>
      </c>
      <c r="I56" s="320">
        <f t="shared" si="2"/>
        <v>69933.5</v>
      </c>
      <c r="J56" s="831"/>
      <c r="K56" s="823"/>
      <c r="L56" s="845"/>
      <c r="M56" s="831"/>
      <c r="N56" s="831"/>
      <c r="O56" s="823"/>
      <c r="P56" s="823"/>
      <c r="Q56" s="823"/>
      <c r="R56" s="823"/>
      <c r="S56" s="257"/>
      <c r="T56" s="254"/>
      <c r="U56" s="255"/>
      <c r="V56" s="461">
        <f>R51-SUM(T51:U56)+V50</f>
        <v>34141.399997711182</v>
      </c>
    </row>
    <row r="57" spans="1:22" s="150" customFormat="1" ht="18" customHeight="1">
      <c r="A57" s="144">
        <v>54</v>
      </c>
      <c r="B57" s="385">
        <v>42870</v>
      </c>
      <c r="C57" s="243" t="s">
        <v>619</v>
      </c>
      <c r="D57" s="243" t="s">
        <v>620</v>
      </c>
      <c r="E57" s="245" t="s">
        <v>621</v>
      </c>
      <c r="F57" s="383">
        <v>2030</v>
      </c>
      <c r="G57" s="383">
        <f t="shared" si="6"/>
        <v>26390</v>
      </c>
      <c r="H57" s="384">
        <v>2.65</v>
      </c>
      <c r="I57" s="320">
        <f t="shared" si="2"/>
        <v>69933.5</v>
      </c>
      <c r="J57" s="830">
        <f>SUM(I57:I62)</f>
        <v>419601</v>
      </c>
      <c r="K57" s="821">
        <f>6*51000000</f>
        <v>306000000</v>
      </c>
      <c r="L57" s="843">
        <v>42926</v>
      </c>
      <c r="M57" s="830">
        <v>16.98</v>
      </c>
      <c r="N57" s="830">
        <f>J57-M57</f>
        <v>419584.02</v>
      </c>
      <c r="O57" s="821">
        <v>22660</v>
      </c>
      <c r="P57" s="821">
        <f>N57*O57</f>
        <v>9507773893.2000008</v>
      </c>
      <c r="Q57" s="821">
        <v>2504700</v>
      </c>
      <c r="R57" s="821">
        <f>P57-Q57</f>
        <v>9505269193.2000008</v>
      </c>
      <c r="S57" s="256" t="s">
        <v>152</v>
      </c>
      <c r="T57" s="254">
        <v>1100000</v>
      </c>
      <c r="U57" s="255">
        <v>1504776000</v>
      </c>
      <c r="V57" s="144"/>
    </row>
    <row r="58" spans="1:22" s="448" customFormat="1" ht="18" customHeight="1">
      <c r="A58" s="144">
        <v>55</v>
      </c>
      <c r="B58" s="440">
        <v>42870</v>
      </c>
      <c r="C58" s="441" t="s">
        <v>619</v>
      </c>
      <c r="D58" s="441" t="s">
        <v>622</v>
      </c>
      <c r="E58" s="442" t="s">
        <v>623</v>
      </c>
      <c r="F58" s="443">
        <v>2030</v>
      </c>
      <c r="G58" s="443">
        <f t="shared" si="6"/>
        <v>26390</v>
      </c>
      <c r="H58" s="444">
        <v>2.65</v>
      </c>
      <c r="I58" s="445">
        <f t="shared" si="2"/>
        <v>69933.5</v>
      </c>
      <c r="J58" s="842"/>
      <c r="K58" s="822"/>
      <c r="L58" s="844"/>
      <c r="M58" s="842"/>
      <c r="N58" s="842"/>
      <c r="O58" s="822"/>
      <c r="P58" s="822"/>
      <c r="Q58" s="822"/>
      <c r="R58" s="822"/>
      <c r="S58" s="256" t="s">
        <v>778</v>
      </c>
      <c r="T58" s="446">
        <v>1100000</v>
      </c>
      <c r="U58" s="447">
        <v>1727323000</v>
      </c>
      <c r="V58" s="439"/>
    </row>
    <row r="59" spans="1:22" s="448" customFormat="1" ht="18" customHeight="1">
      <c r="A59" s="144">
        <v>56</v>
      </c>
      <c r="B59" s="440">
        <v>42870</v>
      </c>
      <c r="C59" s="441" t="s">
        <v>619</v>
      </c>
      <c r="D59" s="441" t="s">
        <v>624</v>
      </c>
      <c r="E59" s="441" t="s">
        <v>625</v>
      </c>
      <c r="F59" s="443">
        <v>2030</v>
      </c>
      <c r="G59" s="443">
        <f t="shared" si="6"/>
        <v>26390</v>
      </c>
      <c r="H59" s="444">
        <v>2.65</v>
      </c>
      <c r="I59" s="445">
        <f t="shared" si="2"/>
        <v>69933.5</v>
      </c>
      <c r="J59" s="842"/>
      <c r="K59" s="822"/>
      <c r="L59" s="844"/>
      <c r="M59" s="842"/>
      <c r="N59" s="842"/>
      <c r="O59" s="822"/>
      <c r="P59" s="822"/>
      <c r="Q59" s="822"/>
      <c r="R59" s="822"/>
      <c r="S59" s="256" t="s">
        <v>394</v>
      </c>
      <c r="T59" s="446">
        <v>1100000</v>
      </c>
      <c r="U59" s="447">
        <v>1411865000</v>
      </c>
      <c r="V59" s="439" t="s">
        <v>745</v>
      </c>
    </row>
    <row r="60" spans="1:22" s="448" customFormat="1" ht="18" customHeight="1">
      <c r="A60" s="144">
        <v>57</v>
      </c>
      <c r="B60" s="440">
        <v>42870</v>
      </c>
      <c r="C60" s="441" t="s">
        <v>619</v>
      </c>
      <c r="D60" s="441" t="s">
        <v>626</v>
      </c>
      <c r="E60" s="441" t="s">
        <v>627</v>
      </c>
      <c r="F60" s="443">
        <v>2030</v>
      </c>
      <c r="G60" s="443">
        <f t="shared" si="6"/>
        <v>26390</v>
      </c>
      <c r="H60" s="444">
        <v>2.65</v>
      </c>
      <c r="I60" s="445">
        <f t="shared" si="2"/>
        <v>69933.5</v>
      </c>
      <c r="J60" s="842"/>
      <c r="K60" s="822"/>
      <c r="L60" s="844"/>
      <c r="M60" s="842"/>
      <c r="N60" s="842"/>
      <c r="O60" s="822"/>
      <c r="P60" s="822"/>
      <c r="Q60" s="822"/>
      <c r="R60" s="822"/>
      <c r="S60" s="256" t="s">
        <v>547</v>
      </c>
      <c r="T60" s="446">
        <v>1100000</v>
      </c>
      <c r="U60" s="447">
        <v>1138547500</v>
      </c>
      <c r="V60" s="439"/>
    </row>
    <row r="61" spans="1:22" s="448" customFormat="1" ht="18" customHeight="1">
      <c r="A61" s="144">
        <v>58</v>
      </c>
      <c r="B61" s="440">
        <v>42870</v>
      </c>
      <c r="C61" s="441" t="s">
        <v>619</v>
      </c>
      <c r="D61" s="441" t="s">
        <v>628</v>
      </c>
      <c r="E61" s="441" t="s">
        <v>629</v>
      </c>
      <c r="F61" s="443">
        <v>2030</v>
      </c>
      <c r="G61" s="443">
        <f t="shared" si="6"/>
        <v>26390</v>
      </c>
      <c r="H61" s="444">
        <v>2.65</v>
      </c>
      <c r="I61" s="445">
        <f t="shared" si="2"/>
        <v>69933.5</v>
      </c>
      <c r="J61" s="842"/>
      <c r="K61" s="822"/>
      <c r="L61" s="844"/>
      <c r="M61" s="842"/>
      <c r="N61" s="842"/>
      <c r="O61" s="822"/>
      <c r="P61" s="822"/>
      <c r="Q61" s="822"/>
      <c r="R61" s="822"/>
      <c r="S61" s="253" t="s">
        <v>729</v>
      </c>
      <c r="T61" s="446">
        <v>1100000</v>
      </c>
      <c r="U61" s="447">
        <v>2000000000</v>
      </c>
      <c r="V61" s="439"/>
    </row>
    <row r="62" spans="1:22" s="448" customFormat="1" ht="18" customHeight="1">
      <c r="A62" s="144">
        <v>59</v>
      </c>
      <c r="B62" s="440">
        <v>42870</v>
      </c>
      <c r="C62" s="441" t="s">
        <v>619</v>
      </c>
      <c r="D62" s="441" t="s">
        <v>630</v>
      </c>
      <c r="E62" s="441" t="s">
        <v>631</v>
      </c>
      <c r="F62" s="443">
        <v>2030</v>
      </c>
      <c r="G62" s="443">
        <f t="shared" si="6"/>
        <v>26390</v>
      </c>
      <c r="H62" s="444">
        <v>2.65</v>
      </c>
      <c r="I62" s="445">
        <f t="shared" si="2"/>
        <v>69933.5</v>
      </c>
      <c r="J62" s="831"/>
      <c r="K62" s="823"/>
      <c r="L62" s="845"/>
      <c r="M62" s="831"/>
      <c r="N62" s="831"/>
      <c r="O62" s="823"/>
      <c r="P62" s="823"/>
      <c r="Q62" s="823"/>
      <c r="R62" s="823"/>
      <c r="S62" s="256" t="s">
        <v>56</v>
      </c>
      <c r="T62" s="446">
        <v>1100000</v>
      </c>
      <c r="U62" s="447">
        <v>1159150000</v>
      </c>
      <c r="V62" s="461">
        <f>R57-SUM(T57:U62)-K95</f>
        <v>8113.2000007629395</v>
      </c>
    </row>
    <row r="63" spans="1:22" s="448" customFormat="1" ht="18" customHeight="1">
      <c r="A63" s="144">
        <v>60</v>
      </c>
      <c r="B63" s="440">
        <v>42875</v>
      </c>
      <c r="C63" s="441" t="s">
        <v>645</v>
      </c>
      <c r="D63" s="441" t="s">
        <v>646</v>
      </c>
      <c r="E63" s="441">
        <v>5363882</v>
      </c>
      <c r="F63" s="443">
        <v>2030</v>
      </c>
      <c r="G63" s="443">
        <f t="shared" si="3"/>
        <v>26390</v>
      </c>
      <c r="H63" s="444">
        <v>2.65</v>
      </c>
      <c r="I63" s="445">
        <f t="shared" si="2"/>
        <v>69933.5</v>
      </c>
      <c r="J63" s="913">
        <f>SUM(I63:I68)</f>
        <v>419601</v>
      </c>
      <c r="K63" s="821">
        <f>22*51000000</f>
        <v>1122000000</v>
      </c>
      <c r="L63" s="843">
        <v>42930</v>
      </c>
      <c r="M63" s="830">
        <v>16.98</v>
      </c>
      <c r="N63" s="830">
        <f>J63-M63</f>
        <v>419584.02</v>
      </c>
      <c r="O63" s="821">
        <v>22660</v>
      </c>
      <c r="P63" s="821">
        <f>N63*O63</f>
        <v>9507773893.2000008</v>
      </c>
      <c r="Q63" s="821">
        <v>2504700</v>
      </c>
      <c r="R63" s="821">
        <f>P63-Q63</f>
        <v>9505269193.2000008</v>
      </c>
      <c r="S63" s="256" t="s">
        <v>406</v>
      </c>
      <c r="T63" s="446">
        <v>1100000</v>
      </c>
      <c r="U63" s="447">
        <v>1491262500</v>
      </c>
      <c r="V63" s="439"/>
    </row>
    <row r="64" spans="1:22" s="448" customFormat="1" ht="18" customHeight="1">
      <c r="A64" s="144">
        <v>61</v>
      </c>
      <c r="B64" s="440">
        <v>42875</v>
      </c>
      <c r="C64" s="441" t="s">
        <v>645</v>
      </c>
      <c r="D64" s="441" t="s">
        <v>647</v>
      </c>
      <c r="E64" s="441">
        <v>5363760</v>
      </c>
      <c r="F64" s="443">
        <v>2030</v>
      </c>
      <c r="G64" s="443">
        <f t="shared" si="3"/>
        <v>26390</v>
      </c>
      <c r="H64" s="444">
        <v>2.65</v>
      </c>
      <c r="I64" s="445">
        <f t="shared" si="2"/>
        <v>69933.5</v>
      </c>
      <c r="J64" s="914"/>
      <c r="K64" s="822"/>
      <c r="L64" s="844"/>
      <c r="M64" s="842"/>
      <c r="N64" s="842"/>
      <c r="O64" s="822"/>
      <c r="P64" s="822"/>
      <c r="Q64" s="822"/>
      <c r="R64" s="822"/>
      <c r="S64" s="256" t="s">
        <v>131</v>
      </c>
      <c r="T64" s="449">
        <v>1100000</v>
      </c>
      <c r="U64" s="450">
        <v>1411865000</v>
      </c>
      <c r="V64" s="439"/>
    </row>
    <row r="65" spans="1:22" s="448" customFormat="1" ht="18" customHeight="1">
      <c r="A65" s="144">
        <v>62</v>
      </c>
      <c r="B65" s="440">
        <v>42875</v>
      </c>
      <c r="C65" s="441" t="s">
        <v>645</v>
      </c>
      <c r="D65" s="441" t="s">
        <v>648</v>
      </c>
      <c r="E65" s="441">
        <v>5363886</v>
      </c>
      <c r="F65" s="443">
        <v>2030</v>
      </c>
      <c r="G65" s="443">
        <f t="shared" si="3"/>
        <v>26390</v>
      </c>
      <c r="H65" s="444">
        <v>2.65</v>
      </c>
      <c r="I65" s="445">
        <f t="shared" si="2"/>
        <v>69933.5</v>
      </c>
      <c r="J65" s="914"/>
      <c r="K65" s="822"/>
      <c r="L65" s="844"/>
      <c r="M65" s="842"/>
      <c r="N65" s="842"/>
      <c r="O65" s="822"/>
      <c r="P65" s="822"/>
      <c r="Q65" s="822"/>
      <c r="R65" s="822"/>
      <c r="S65" s="256" t="s">
        <v>547</v>
      </c>
      <c r="T65" s="451">
        <v>1100000</v>
      </c>
      <c r="U65" s="447">
        <v>1632402500</v>
      </c>
      <c r="V65" s="439"/>
    </row>
    <row r="66" spans="1:22" s="448" customFormat="1" ht="18" customHeight="1">
      <c r="A66" s="144">
        <v>63</v>
      </c>
      <c r="B66" s="440">
        <v>42875</v>
      </c>
      <c r="C66" s="441" t="s">
        <v>645</v>
      </c>
      <c r="D66" s="441" t="s">
        <v>649</v>
      </c>
      <c r="E66" s="441">
        <v>5384032</v>
      </c>
      <c r="F66" s="443">
        <v>2030</v>
      </c>
      <c r="G66" s="443">
        <f t="shared" si="3"/>
        <v>26390</v>
      </c>
      <c r="H66" s="444">
        <v>2.65</v>
      </c>
      <c r="I66" s="445">
        <f t="shared" si="2"/>
        <v>69933.5</v>
      </c>
      <c r="J66" s="914"/>
      <c r="K66" s="822"/>
      <c r="L66" s="844"/>
      <c r="M66" s="842"/>
      <c r="N66" s="842"/>
      <c r="O66" s="822"/>
      <c r="P66" s="822"/>
      <c r="Q66" s="822"/>
      <c r="R66" s="822"/>
      <c r="S66" s="256" t="s">
        <v>152</v>
      </c>
      <c r="T66" s="451">
        <v>1100000</v>
      </c>
      <c r="U66" s="447">
        <v>1378689000</v>
      </c>
      <c r="V66" s="439"/>
    </row>
    <row r="67" spans="1:22" s="448" customFormat="1" ht="18" customHeight="1">
      <c r="A67" s="144">
        <v>64</v>
      </c>
      <c r="B67" s="440">
        <v>42875</v>
      </c>
      <c r="C67" s="441" t="s">
        <v>645</v>
      </c>
      <c r="D67" s="441" t="s">
        <v>650</v>
      </c>
      <c r="E67" s="441">
        <v>5384037</v>
      </c>
      <c r="F67" s="443">
        <v>2030</v>
      </c>
      <c r="G67" s="443">
        <f t="shared" si="3"/>
        <v>26390</v>
      </c>
      <c r="H67" s="444">
        <v>2.65</v>
      </c>
      <c r="I67" s="445">
        <f t="shared" si="2"/>
        <v>69933.5</v>
      </c>
      <c r="J67" s="914"/>
      <c r="K67" s="822"/>
      <c r="L67" s="844"/>
      <c r="M67" s="842"/>
      <c r="N67" s="842"/>
      <c r="O67" s="822"/>
      <c r="P67" s="822"/>
      <c r="Q67" s="822"/>
      <c r="R67" s="822"/>
      <c r="S67" s="253" t="s">
        <v>778</v>
      </c>
      <c r="T67" s="451">
        <v>1100000</v>
      </c>
      <c r="U67" s="447">
        <v>1364220000</v>
      </c>
      <c r="V67" s="439"/>
    </row>
    <row r="68" spans="1:22" s="448" customFormat="1" ht="18" customHeight="1">
      <c r="A68" s="144">
        <v>65</v>
      </c>
      <c r="B68" s="440">
        <v>42875</v>
      </c>
      <c r="C68" s="441" t="s">
        <v>645</v>
      </c>
      <c r="D68" s="441" t="s">
        <v>651</v>
      </c>
      <c r="E68" s="441">
        <v>5363799</v>
      </c>
      <c r="F68" s="443">
        <v>2030</v>
      </c>
      <c r="G68" s="443">
        <f t="shared" si="3"/>
        <v>26390</v>
      </c>
      <c r="H68" s="444">
        <v>2.65</v>
      </c>
      <c r="I68" s="445">
        <f t="shared" ref="I68:I216" si="7">G68*H68</f>
        <v>69933.5</v>
      </c>
      <c r="J68" s="915"/>
      <c r="K68" s="822"/>
      <c r="L68" s="845"/>
      <c r="M68" s="831"/>
      <c r="N68" s="831"/>
      <c r="O68" s="823"/>
      <c r="P68" s="823"/>
      <c r="Q68" s="823"/>
      <c r="R68" s="823"/>
      <c r="S68" s="256" t="s">
        <v>394</v>
      </c>
      <c r="T68" s="451">
        <v>1100000</v>
      </c>
      <c r="U68" s="447">
        <v>2220230000</v>
      </c>
      <c r="V68" s="461">
        <f>R63-SUM(T63:U68)</f>
        <v>193.20000076293945</v>
      </c>
    </row>
    <row r="69" spans="1:22" s="448" customFormat="1" ht="18" customHeight="1">
      <c r="A69" s="144">
        <v>66</v>
      </c>
      <c r="B69" s="440">
        <v>42877</v>
      </c>
      <c r="C69" s="441" t="s">
        <v>652</v>
      </c>
      <c r="D69" s="441" t="s">
        <v>653</v>
      </c>
      <c r="E69" s="441" t="s">
        <v>659</v>
      </c>
      <c r="F69" s="443">
        <v>2030</v>
      </c>
      <c r="G69" s="443">
        <f t="shared" ref="G69:G74" si="8">F69*13</f>
        <v>26390</v>
      </c>
      <c r="H69" s="444">
        <v>2.65</v>
      </c>
      <c r="I69" s="445">
        <f t="shared" si="7"/>
        <v>69933.5</v>
      </c>
      <c r="J69" s="913">
        <f>SUM(I69:I74)</f>
        <v>419601</v>
      </c>
      <c r="K69" s="822"/>
      <c r="L69" s="843">
        <v>42935</v>
      </c>
      <c r="M69" s="830">
        <f>J69-N69</f>
        <v>17.179999999993015</v>
      </c>
      <c r="N69" s="830">
        <v>419583.82</v>
      </c>
      <c r="O69" s="821">
        <v>22660</v>
      </c>
      <c r="P69" s="821">
        <f>N69*O69</f>
        <v>9507769361.2000008</v>
      </c>
      <c r="Q69" s="821">
        <v>2504700</v>
      </c>
      <c r="R69" s="821">
        <f>P69-Q69</f>
        <v>9505264661.2000008</v>
      </c>
      <c r="S69" s="256" t="s">
        <v>547</v>
      </c>
      <c r="T69" s="255">
        <v>1100000</v>
      </c>
      <c r="U69" s="255">
        <v>1371604000</v>
      </c>
      <c r="V69" s="439"/>
    </row>
    <row r="70" spans="1:22" s="448" customFormat="1" ht="18" customHeight="1">
      <c r="A70" s="144">
        <v>67</v>
      </c>
      <c r="B70" s="440">
        <v>42877</v>
      </c>
      <c r="C70" s="441" t="s">
        <v>652</v>
      </c>
      <c r="D70" s="441" t="s">
        <v>654</v>
      </c>
      <c r="E70" s="441" t="s">
        <v>660</v>
      </c>
      <c r="F70" s="443">
        <v>2030</v>
      </c>
      <c r="G70" s="443">
        <f t="shared" si="8"/>
        <v>26390</v>
      </c>
      <c r="H70" s="444">
        <v>2.65</v>
      </c>
      <c r="I70" s="445">
        <f t="shared" si="7"/>
        <v>69933.5</v>
      </c>
      <c r="J70" s="914"/>
      <c r="K70" s="822"/>
      <c r="L70" s="844"/>
      <c r="M70" s="842"/>
      <c r="N70" s="842"/>
      <c r="O70" s="822"/>
      <c r="P70" s="822"/>
      <c r="Q70" s="822"/>
      <c r="R70" s="822"/>
      <c r="S70" s="256" t="s">
        <v>152</v>
      </c>
      <c r="T70" s="255">
        <v>1100000</v>
      </c>
      <c r="U70" s="255">
        <v>2762520000</v>
      </c>
      <c r="V70" s="439"/>
    </row>
    <row r="71" spans="1:22" s="448" customFormat="1" ht="18" customHeight="1">
      <c r="A71" s="144">
        <v>68</v>
      </c>
      <c r="B71" s="440">
        <v>42877</v>
      </c>
      <c r="C71" s="441" t="s">
        <v>652</v>
      </c>
      <c r="D71" s="441" t="s">
        <v>655</v>
      </c>
      <c r="E71" s="441" t="s">
        <v>661</v>
      </c>
      <c r="F71" s="443">
        <v>2030</v>
      </c>
      <c r="G71" s="443">
        <f t="shared" si="8"/>
        <v>26390</v>
      </c>
      <c r="H71" s="444">
        <v>2.65</v>
      </c>
      <c r="I71" s="445">
        <f t="shared" si="7"/>
        <v>69933.5</v>
      </c>
      <c r="J71" s="914"/>
      <c r="K71" s="822"/>
      <c r="L71" s="844"/>
      <c r="M71" s="842"/>
      <c r="N71" s="842"/>
      <c r="O71" s="822"/>
      <c r="P71" s="822"/>
      <c r="Q71" s="822"/>
      <c r="R71" s="822"/>
      <c r="S71" s="256" t="s">
        <v>394</v>
      </c>
      <c r="T71" s="255">
        <v>1100000</v>
      </c>
      <c r="U71" s="255">
        <v>1912587000</v>
      </c>
      <c r="V71" s="439"/>
    </row>
    <row r="72" spans="1:22" s="448" customFormat="1" ht="18" customHeight="1">
      <c r="A72" s="144">
        <v>69</v>
      </c>
      <c r="B72" s="440">
        <v>42877</v>
      </c>
      <c r="C72" s="441" t="s">
        <v>652</v>
      </c>
      <c r="D72" s="441" t="s">
        <v>656</v>
      </c>
      <c r="E72" s="441" t="s">
        <v>662</v>
      </c>
      <c r="F72" s="443">
        <v>2030</v>
      </c>
      <c r="G72" s="443">
        <f t="shared" si="8"/>
        <v>26390</v>
      </c>
      <c r="H72" s="444">
        <v>2.65</v>
      </c>
      <c r="I72" s="445">
        <f t="shared" si="7"/>
        <v>69933.5</v>
      </c>
      <c r="J72" s="914"/>
      <c r="K72" s="822"/>
      <c r="L72" s="844"/>
      <c r="M72" s="842"/>
      <c r="N72" s="842"/>
      <c r="O72" s="822"/>
      <c r="P72" s="822"/>
      <c r="Q72" s="822"/>
      <c r="R72" s="822"/>
      <c r="S72" s="256" t="s">
        <v>56</v>
      </c>
      <c r="T72" s="255">
        <v>1100000</v>
      </c>
      <c r="U72" s="255">
        <v>2889719000</v>
      </c>
      <c r="V72" s="439" t="s">
        <v>745</v>
      </c>
    </row>
    <row r="73" spans="1:22" s="448" customFormat="1" ht="18" customHeight="1">
      <c r="A73" s="144">
        <v>70</v>
      </c>
      <c r="B73" s="440">
        <v>42877</v>
      </c>
      <c r="C73" s="441" t="s">
        <v>652</v>
      </c>
      <c r="D73" s="441" t="s">
        <v>657</v>
      </c>
      <c r="E73" s="441" t="s">
        <v>663</v>
      </c>
      <c r="F73" s="443">
        <v>2030</v>
      </c>
      <c r="G73" s="443">
        <f t="shared" si="8"/>
        <v>26390</v>
      </c>
      <c r="H73" s="444">
        <v>2.65</v>
      </c>
      <c r="I73" s="445">
        <f t="shared" si="7"/>
        <v>69933.5</v>
      </c>
      <c r="J73" s="914"/>
      <c r="K73" s="822"/>
      <c r="L73" s="844"/>
      <c r="M73" s="842"/>
      <c r="N73" s="842"/>
      <c r="O73" s="822"/>
      <c r="P73" s="822"/>
      <c r="Q73" s="822"/>
      <c r="R73" s="822"/>
      <c r="S73" s="451"/>
      <c r="T73" s="451"/>
      <c r="U73" s="451"/>
      <c r="V73" s="439"/>
    </row>
    <row r="74" spans="1:22" s="448" customFormat="1" ht="18" customHeight="1">
      <c r="A74" s="144">
        <v>71</v>
      </c>
      <c r="B74" s="440">
        <v>42877</v>
      </c>
      <c r="C74" s="441" t="s">
        <v>652</v>
      </c>
      <c r="D74" s="441" t="s">
        <v>658</v>
      </c>
      <c r="E74" s="441" t="s">
        <v>664</v>
      </c>
      <c r="F74" s="443">
        <v>2030</v>
      </c>
      <c r="G74" s="443">
        <f t="shared" si="8"/>
        <v>26390</v>
      </c>
      <c r="H74" s="444">
        <v>2.65</v>
      </c>
      <c r="I74" s="445">
        <f t="shared" si="7"/>
        <v>69933.5</v>
      </c>
      <c r="J74" s="915"/>
      <c r="K74" s="822"/>
      <c r="L74" s="845"/>
      <c r="M74" s="831"/>
      <c r="N74" s="831"/>
      <c r="O74" s="823"/>
      <c r="P74" s="823"/>
      <c r="Q74" s="823"/>
      <c r="R74" s="823"/>
      <c r="S74" s="451"/>
      <c r="T74" s="451"/>
      <c r="U74" s="451"/>
      <c r="V74" s="461">
        <f>R69-SUM(T69:U74)-K105</f>
        <v>121.20000076293945</v>
      </c>
    </row>
    <row r="75" spans="1:22" s="448" customFormat="1" ht="18" customHeight="1">
      <c r="A75" s="144">
        <v>72</v>
      </c>
      <c r="B75" s="440">
        <v>42881</v>
      </c>
      <c r="C75" s="441" t="s">
        <v>671</v>
      </c>
      <c r="D75" s="441" t="s">
        <v>665</v>
      </c>
      <c r="E75" s="441">
        <v>5386506</v>
      </c>
      <c r="F75" s="443">
        <v>2030</v>
      </c>
      <c r="G75" s="443">
        <f t="shared" ref="G75:G80" si="9">F75*13</f>
        <v>26390</v>
      </c>
      <c r="H75" s="444">
        <v>2.65</v>
      </c>
      <c r="I75" s="445">
        <f t="shared" ref="I75:I80" si="10">G75*H75</f>
        <v>69933.5</v>
      </c>
      <c r="J75" s="830">
        <f>SUM(I75:I80)</f>
        <v>419601</v>
      </c>
      <c r="K75" s="822"/>
      <c r="L75" s="843">
        <v>42941</v>
      </c>
      <c r="M75" s="830">
        <f>J75-N75</f>
        <v>17.179999999993015</v>
      </c>
      <c r="N75" s="830">
        <v>419583.82</v>
      </c>
      <c r="O75" s="821">
        <v>22660</v>
      </c>
      <c r="P75" s="821">
        <f>N75*O75</f>
        <v>9507769361.2000008</v>
      </c>
      <c r="Q75" s="821">
        <v>2504700</v>
      </c>
      <c r="R75" s="821">
        <f>P75-Q75</f>
        <v>9505264661.2000008</v>
      </c>
      <c r="S75" s="256" t="s">
        <v>400</v>
      </c>
      <c r="T75" s="451">
        <v>1100000</v>
      </c>
      <c r="U75" s="451">
        <v>1361230000</v>
      </c>
      <c r="V75" s="439"/>
    </row>
    <row r="76" spans="1:22" s="448" customFormat="1" ht="18" customHeight="1">
      <c r="A76" s="144">
        <v>73</v>
      </c>
      <c r="B76" s="440">
        <v>42881</v>
      </c>
      <c r="C76" s="441" t="s">
        <v>671</v>
      </c>
      <c r="D76" s="441" t="s">
        <v>666</v>
      </c>
      <c r="E76" s="441">
        <v>5386565</v>
      </c>
      <c r="F76" s="443">
        <v>2030</v>
      </c>
      <c r="G76" s="443">
        <f t="shared" si="9"/>
        <v>26390</v>
      </c>
      <c r="H76" s="444">
        <v>2.65</v>
      </c>
      <c r="I76" s="445">
        <f t="shared" si="10"/>
        <v>69933.5</v>
      </c>
      <c r="J76" s="842"/>
      <c r="K76" s="822"/>
      <c r="L76" s="844"/>
      <c r="M76" s="842"/>
      <c r="N76" s="842"/>
      <c r="O76" s="822"/>
      <c r="P76" s="822"/>
      <c r="Q76" s="822"/>
      <c r="R76" s="822"/>
      <c r="S76" s="256" t="s">
        <v>401</v>
      </c>
      <c r="T76" s="451">
        <v>1100000</v>
      </c>
      <c r="U76" s="451">
        <v>1036773000</v>
      </c>
      <c r="V76" s="439"/>
    </row>
    <row r="77" spans="1:22" s="448" customFormat="1" ht="18" customHeight="1">
      <c r="A77" s="144">
        <v>74</v>
      </c>
      <c r="B77" s="440">
        <v>42881</v>
      </c>
      <c r="C77" s="441" t="s">
        <v>671</v>
      </c>
      <c r="D77" s="441" t="s">
        <v>667</v>
      </c>
      <c r="E77" s="441">
        <v>5386667</v>
      </c>
      <c r="F77" s="443">
        <v>2030</v>
      </c>
      <c r="G77" s="443">
        <f t="shared" si="9"/>
        <v>26390</v>
      </c>
      <c r="H77" s="444">
        <v>2.65</v>
      </c>
      <c r="I77" s="445">
        <f t="shared" si="10"/>
        <v>69933.5</v>
      </c>
      <c r="J77" s="842"/>
      <c r="K77" s="822"/>
      <c r="L77" s="844"/>
      <c r="M77" s="842"/>
      <c r="N77" s="842"/>
      <c r="O77" s="822"/>
      <c r="P77" s="822"/>
      <c r="Q77" s="822"/>
      <c r="R77" s="822"/>
      <c r="S77" s="256" t="s">
        <v>547</v>
      </c>
      <c r="T77" s="446">
        <v>1100000</v>
      </c>
      <c r="U77" s="447">
        <v>2691117000</v>
      </c>
      <c r="V77" s="439"/>
    </row>
    <row r="78" spans="1:22" s="448" customFormat="1" ht="18" customHeight="1">
      <c r="A78" s="144">
        <v>75</v>
      </c>
      <c r="B78" s="440">
        <v>42881</v>
      </c>
      <c r="C78" s="441" t="s">
        <v>671</v>
      </c>
      <c r="D78" s="441" t="s">
        <v>668</v>
      </c>
      <c r="E78" s="441">
        <v>5386595</v>
      </c>
      <c r="F78" s="443">
        <v>2030</v>
      </c>
      <c r="G78" s="443">
        <f t="shared" si="9"/>
        <v>26390</v>
      </c>
      <c r="H78" s="444">
        <v>2.65</v>
      </c>
      <c r="I78" s="445">
        <f t="shared" si="10"/>
        <v>69933.5</v>
      </c>
      <c r="J78" s="842"/>
      <c r="K78" s="822"/>
      <c r="L78" s="844"/>
      <c r="M78" s="842"/>
      <c r="N78" s="842"/>
      <c r="O78" s="822"/>
      <c r="P78" s="822"/>
      <c r="Q78" s="822"/>
      <c r="R78" s="822"/>
      <c r="S78" s="256" t="s">
        <v>152</v>
      </c>
      <c r="T78" s="446">
        <v>1100000</v>
      </c>
      <c r="U78" s="447">
        <v>1345890000</v>
      </c>
      <c r="V78" s="439" t="s">
        <v>745</v>
      </c>
    </row>
    <row r="79" spans="1:22" s="448" customFormat="1" ht="18.75" customHeight="1">
      <c r="A79" s="144">
        <v>76</v>
      </c>
      <c r="B79" s="440">
        <v>42881</v>
      </c>
      <c r="C79" s="441" t="s">
        <v>671</v>
      </c>
      <c r="D79" s="441" t="s">
        <v>669</v>
      </c>
      <c r="E79" s="441">
        <v>5386646</v>
      </c>
      <c r="F79" s="443">
        <v>2030</v>
      </c>
      <c r="G79" s="443">
        <f t="shared" si="9"/>
        <v>26390</v>
      </c>
      <c r="H79" s="444">
        <v>2.65</v>
      </c>
      <c r="I79" s="445">
        <f t="shared" si="10"/>
        <v>69933.5</v>
      </c>
      <c r="J79" s="842"/>
      <c r="K79" s="822"/>
      <c r="L79" s="844"/>
      <c r="M79" s="842"/>
      <c r="N79" s="842"/>
      <c r="O79" s="822"/>
      <c r="P79" s="822"/>
      <c r="Q79" s="822"/>
      <c r="R79" s="822"/>
      <c r="S79" s="256" t="s">
        <v>394</v>
      </c>
      <c r="T79" s="446">
        <v>1100000</v>
      </c>
      <c r="U79" s="447">
        <v>2709455000</v>
      </c>
      <c r="V79" s="439"/>
    </row>
    <row r="80" spans="1:22" s="150" customFormat="1" ht="18.75" customHeight="1">
      <c r="A80" s="144">
        <v>77</v>
      </c>
      <c r="B80" s="398">
        <v>42881</v>
      </c>
      <c r="C80" s="243" t="s">
        <v>671</v>
      </c>
      <c r="D80" s="243" t="s">
        <v>670</v>
      </c>
      <c r="E80" s="243">
        <v>5373119</v>
      </c>
      <c r="F80" s="395">
        <v>2030</v>
      </c>
      <c r="G80" s="395">
        <f t="shared" si="9"/>
        <v>26390</v>
      </c>
      <c r="H80" s="397">
        <v>2.65</v>
      </c>
      <c r="I80" s="396">
        <f t="shared" si="10"/>
        <v>69933.5</v>
      </c>
      <c r="J80" s="831"/>
      <c r="K80" s="822"/>
      <c r="L80" s="845"/>
      <c r="M80" s="831"/>
      <c r="N80" s="831"/>
      <c r="O80" s="823"/>
      <c r="P80" s="823"/>
      <c r="Q80" s="823"/>
      <c r="R80" s="823"/>
      <c r="S80" s="253"/>
      <c r="T80" s="254"/>
      <c r="U80" s="255"/>
      <c r="V80" s="461">
        <f>R75-SUM(T75:U80)-K115</f>
        <v>16433901.200000763</v>
      </c>
    </row>
    <row r="81" spans="1:22" s="150" customFormat="1" ht="18" customHeight="1">
      <c r="A81" s="144">
        <v>78</v>
      </c>
      <c r="B81" s="394">
        <v>42882</v>
      </c>
      <c r="C81" s="243" t="s">
        <v>672</v>
      </c>
      <c r="D81" s="243" t="s">
        <v>673</v>
      </c>
      <c r="E81" s="243">
        <v>5378874</v>
      </c>
      <c r="F81" s="395">
        <v>2030</v>
      </c>
      <c r="G81" s="395">
        <f t="shared" ref="G81:G84" si="11">F81*13</f>
        <v>26390</v>
      </c>
      <c r="H81" s="397">
        <v>2.65</v>
      </c>
      <c r="I81" s="396">
        <f t="shared" ref="I81:I84" si="12">G81*H81</f>
        <v>69933.5</v>
      </c>
      <c r="J81" s="866">
        <f>SUM(I81:I84)</f>
        <v>279734</v>
      </c>
      <c r="K81" s="822"/>
      <c r="L81" s="843">
        <v>42949</v>
      </c>
      <c r="M81" s="830">
        <v>153.86000000000001</v>
      </c>
      <c r="N81" s="830">
        <f>J81-M81</f>
        <v>279580.14</v>
      </c>
      <c r="O81" s="821">
        <v>22690</v>
      </c>
      <c r="P81" s="821">
        <f>N81*O81</f>
        <v>6343673376.6000004</v>
      </c>
      <c r="Q81" s="821"/>
      <c r="R81" s="821">
        <f>P81-Q81</f>
        <v>6343673376.6000004</v>
      </c>
      <c r="S81" s="256" t="s">
        <v>547</v>
      </c>
      <c r="T81" s="393">
        <v>1100000</v>
      </c>
      <c r="U81" s="528">
        <v>1332695000</v>
      </c>
      <c r="V81" s="144"/>
    </row>
    <row r="82" spans="1:22" s="150" customFormat="1" ht="18" customHeight="1">
      <c r="A82" s="144">
        <v>79</v>
      </c>
      <c r="B82" s="398">
        <v>42882</v>
      </c>
      <c r="C82" s="243" t="s">
        <v>672</v>
      </c>
      <c r="D82" s="243" t="s">
        <v>674</v>
      </c>
      <c r="E82" s="243">
        <v>5386600</v>
      </c>
      <c r="F82" s="395">
        <v>2030</v>
      </c>
      <c r="G82" s="395">
        <f t="shared" si="11"/>
        <v>26390</v>
      </c>
      <c r="H82" s="397">
        <v>2.65</v>
      </c>
      <c r="I82" s="396">
        <f t="shared" si="12"/>
        <v>69933.5</v>
      </c>
      <c r="J82" s="866"/>
      <c r="K82" s="822"/>
      <c r="L82" s="844"/>
      <c r="M82" s="842"/>
      <c r="N82" s="842"/>
      <c r="O82" s="822"/>
      <c r="P82" s="822"/>
      <c r="Q82" s="822"/>
      <c r="R82" s="822"/>
      <c r="S82" s="256" t="s">
        <v>152</v>
      </c>
      <c r="T82" s="393">
        <v>1100000</v>
      </c>
      <c r="U82" s="393">
        <v>1300000000</v>
      </c>
      <c r="V82" s="144"/>
    </row>
    <row r="83" spans="1:22" s="150" customFormat="1" ht="18" customHeight="1">
      <c r="A83" s="144">
        <v>80</v>
      </c>
      <c r="B83" s="398">
        <v>42882</v>
      </c>
      <c r="C83" s="243" t="s">
        <v>672</v>
      </c>
      <c r="D83" s="243" t="s">
        <v>675</v>
      </c>
      <c r="E83" s="243">
        <v>5378873</v>
      </c>
      <c r="F83" s="395">
        <v>2030</v>
      </c>
      <c r="G83" s="395">
        <f t="shared" si="11"/>
        <v>26390</v>
      </c>
      <c r="H83" s="397">
        <v>2.65</v>
      </c>
      <c r="I83" s="396">
        <f t="shared" si="12"/>
        <v>69933.5</v>
      </c>
      <c r="J83" s="866"/>
      <c r="K83" s="822"/>
      <c r="L83" s="844"/>
      <c r="M83" s="842"/>
      <c r="N83" s="842"/>
      <c r="O83" s="822"/>
      <c r="P83" s="822"/>
      <c r="Q83" s="822"/>
      <c r="R83" s="822"/>
      <c r="S83" s="256" t="s">
        <v>400</v>
      </c>
      <c r="T83" s="393">
        <v>1100000</v>
      </c>
      <c r="U83" s="393">
        <v>1313000000</v>
      </c>
      <c r="V83" s="144"/>
    </row>
    <row r="84" spans="1:22" s="150" customFormat="1" ht="18" customHeight="1">
      <c r="A84" s="144">
        <v>81</v>
      </c>
      <c r="B84" s="398">
        <v>42882</v>
      </c>
      <c r="C84" s="243" t="s">
        <v>672</v>
      </c>
      <c r="D84" s="243" t="s">
        <v>676</v>
      </c>
      <c r="E84" s="243">
        <v>5386643</v>
      </c>
      <c r="F84" s="395">
        <v>2030</v>
      </c>
      <c r="G84" s="395">
        <f t="shared" si="11"/>
        <v>26390</v>
      </c>
      <c r="H84" s="397">
        <v>2.65</v>
      </c>
      <c r="I84" s="396">
        <f t="shared" si="12"/>
        <v>69933.5</v>
      </c>
      <c r="J84" s="866"/>
      <c r="K84" s="823"/>
      <c r="L84" s="845"/>
      <c r="M84" s="831"/>
      <c r="N84" s="831"/>
      <c r="O84" s="823"/>
      <c r="P84" s="823"/>
      <c r="Q84" s="823"/>
      <c r="R84" s="823"/>
      <c r="S84" s="256" t="s">
        <v>394</v>
      </c>
      <c r="T84" s="393">
        <v>1100000</v>
      </c>
      <c r="U84" s="393">
        <v>1397242000</v>
      </c>
      <c r="V84" s="461">
        <f>R81-SUM(T81:U84)-K121+V80</f>
        <v>137.80000114440918</v>
      </c>
    </row>
    <row r="85" spans="1:22" s="150" customFormat="1" ht="18" customHeight="1">
      <c r="A85" s="144">
        <v>82</v>
      </c>
      <c r="B85" s="394">
        <v>42888</v>
      </c>
      <c r="C85" s="243" t="s">
        <v>732</v>
      </c>
      <c r="D85" s="245" t="s">
        <v>735</v>
      </c>
      <c r="E85" s="243">
        <v>5363166</v>
      </c>
      <c r="F85" s="399">
        <v>2030</v>
      </c>
      <c r="G85" s="399">
        <f t="shared" ref="G85:G88" si="13">F85*13</f>
        <v>26390</v>
      </c>
      <c r="H85" s="400">
        <v>2.65</v>
      </c>
      <c r="I85" s="392">
        <f t="shared" ref="I85:I92" si="14">G85*H85</f>
        <v>69933.5</v>
      </c>
      <c r="J85" s="866">
        <f>SUM(I85:I88)</f>
        <v>279734</v>
      </c>
      <c r="K85" s="821">
        <f>10*51000000</f>
        <v>510000000</v>
      </c>
      <c r="L85" s="843">
        <v>42957</v>
      </c>
      <c r="M85" s="830">
        <f>J85-N85</f>
        <v>17.75</v>
      </c>
      <c r="N85" s="830">
        <v>279716.25</v>
      </c>
      <c r="O85" s="821">
        <v>22690</v>
      </c>
      <c r="P85" s="821">
        <f>N85*O85</f>
        <v>6346761712.5</v>
      </c>
      <c r="Q85" s="821">
        <v>2503600</v>
      </c>
      <c r="R85" s="821">
        <f>P85-Q85</f>
        <v>6344258112.5</v>
      </c>
      <c r="S85" s="139" t="s">
        <v>547</v>
      </c>
      <c r="T85" s="393">
        <v>1647329.7749999999</v>
      </c>
      <c r="U85" s="393">
        <v>3786965000</v>
      </c>
      <c r="V85" s="144"/>
    </row>
    <row r="86" spans="1:22" s="150" customFormat="1" ht="18" customHeight="1">
      <c r="A86" s="144">
        <v>83</v>
      </c>
      <c r="B86" s="401">
        <v>42888</v>
      </c>
      <c r="C86" s="243" t="s">
        <v>732</v>
      </c>
      <c r="D86" s="243" t="s">
        <v>733</v>
      </c>
      <c r="E86" s="243">
        <v>5363177</v>
      </c>
      <c r="F86" s="399">
        <v>2030</v>
      </c>
      <c r="G86" s="399">
        <f t="shared" si="13"/>
        <v>26390</v>
      </c>
      <c r="H86" s="400">
        <v>2.65</v>
      </c>
      <c r="I86" s="392">
        <f t="shared" si="14"/>
        <v>69933.5</v>
      </c>
      <c r="J86" s="866"/>
      <c r="K86" s="822"/>
      <c r="L86" s="844"/>
      <c r="M86" s="842"/>
      <c r="N86" s="842"/>
      <c r="O86" s="822"/>
      <c r="P86" s="822"/>
      <c r="Q86" s="822"/>
      <c r="R86" s="822"/>
      <c r="S86" s="139" t="s">
        <v>152</v>
      </c>
      <c r="T86" s="393">
        <v>1123991</v>
      </c>
      <c r="U86" s="393">
        <v>2554525000</v>
      </c>
      <c r="V86" s="144"/>
    </row>
    <row r="87" spans="1:22" s="150" customFormat="1" ht="18" customHeight="1">
      <c r="A87" s="144">
        <v>84</v>
      </c>
      <c r="B87" s="401">
        <v>42888</v>
      </c>
      <c r="C87" s="243" t="s">
        <v>732</v>
      </c>
      <c r="D87" s="243" t="s">
        <v>734</v>
      </c>
      <c r="E87" s="243">
        <v>5366060</v>
      </c>
      <c r="F87" s="399">
        <v>2030</v>
      </c>
      <c r="G87" s="399">
        <f t="shared" si="13"/>
        <v>26390</v>
      </c>
      <c r="H87" s="400">
        <v>2.65</v>
      </c>
      <c r="I87" s="392">
        <f t="shared" si="14"/>
        <v>69933.5</v>
      </c>
      <c r="J87" s="866"/>
      <c r="K87" s="822"/>
      <c r="L87" s="844"/>
      <c r="M87" s="842"/>
      <c r="N87" s="842"/>
      <c r="O87" s="822"/>
      <c r="P87" s="822"/>
      <c r="Q87" s="822"/>
      <c r="R87" s="822"/>
      <c r="S87" s="393"/>
      <c r="T87" s="393"/>
      <c r="U87" s="393"/>
      <c r="V87" s="144"/>
    </row>
    <row r="88" spans="1:22" s="150" customFormat="1" ht="18" customHeight="1">
      <c r="A88" s="144">
        <v>85</v>
      </c>
      <c r="B88" s="401">
        <v>42888</v>
      </c>
      <c r="C88" s="243" t="s">
        <v>732</v>
      </c>
      <c r="D88" s="243" t="s">
        <v>736</v>
      </c>
      <c r="E88" s="243">
        <v>5389586</v>
      </c>
      <c r="F88" s="399">
        <v>2030</v>
      </c>
      <c r="G88" s="399">
        <f t="shared" si="13"/>
        <v>26390</v>
      </c>
      <c r="H88" s="400">
        <v>2.65</v>
      </c>
      <c r="I88" s="392">
        <f t="shared" si="14"/>
        <v>69933.5</v>
      </c>
      <c r="J88" s="866"/>
      <c r="K88" s="822"/>
      <c r="L88" s="845"/>
      <c r="M88" s="831"/>
      <c r="N88" s="831"/>
      <c r="O88" s="823"/>
      <c r="P88" s="823"/>
      <c r="Q88" s="823"/>
      <c r="R88" s="823"/>
      <c r="S88" s="393"/>
      <c r="T88" s="393"/>
      <c r="U88" s="393"/>
      <c r="V88" s="461">
        <f>R85-SUM(T85:U88)</f>
        <v>-3208.2749996185303</v>
      </c>
    </row>
    <row r="89" spans="1:22" s="150" customFormat="1" ht="18" customHeight="1">
      <c r="A89" s="144">
        <v>86</v>
      </c>
      <c r="B89" s="394">
        <v>42895</v>
      </c>
      <c r="C89" s="243" t="s">
        <v>755</v>
      </c>
      <c r="D89" s="243" t="s">
        <v>756</v>
      </c>
      <c r="E89" s="243">
        <v>5382090</v>
      </c>
      <c r="F89" s="427">
        <v>2030</v>
      </c>
      <c r="G89" s="391">
        <f t="shared" si="3"/>
        <v>26390</v>
      </c>
      <c r="H89" s="428">
        <v>2.65</v>
      </c>
      <c r="I89" s="392">
        <f t="shared" si="14"/>
        <v>69933.5</v>
      </c>
      <c r="J89" s="866">
        <f>SUM(I89:I92)</f>
        <v>279734</v>
      </c>
      <c r="K89" s="822"/>
      <c r="L89" s="843">
        <v>42964</v>
      </c>
      <c r="M89" s="830">
        <f>J89-N89</f>
        <v>17.64000000001397</v>
      </c>
      <c r="N89" s="830">
        <v>279716.36</v>
      </c>
      <c r="O89" s="821">
        <v>22690</v>
      </c>
      <c r="P89" s="821">
        <f>N89*O89</f>
        <v>6346764208.3999996</v>
      </c>
      <c r="Q89" s="821">
        <v>2504150</v>
      </c>
      <c r="R89" s="821">
        <f>P89-Q89</f>
        <v>6344260058.3999996</v>
      </c>
      <c r="S89" s="256" t="s">
        <v>395</v>
      </c>
      <c r="T89" s="254">
        <v>1100000</v>
      </c>
      <c r="U89" s="255">
        <v>1221718000</v>
      </c>
      <c r="V89" s="144"/>
    </row>
    <row r="90" spans="1:22" s="150" customFormat="1" ht="18" customHeight="1">
      <c r="A90" s="144">
        <v>87</v>
      </c>
      <c r="B90" s="429">
        <v>42895</v>
      </c>
      <c r="C90" s="243" t="s">
        <v>755</v>
      </c>
      <c r="D90" s="243" t="s">
        <v>757</v>
      </c>
      <c r="E90" s="243">
        <v>5382100</v>
      </c>
      <c r="F90" s="427">
        <v>2030</v>
      </c>
      <c r="G90" s="391">
        <f t="shared" si="3"/>
        <v>26390</v>
      </c>
      <c r="H90" s="428">
        <v>2.65</v>
      </c>
      <c r="I90" s="392">
        <f t="shared" si="14"/>
        <v>69933.5</v>
      </c>
      <c r="J90" s="866"/>
      <c r="K90" s="822"/>
      <c r="L90" s="844"/>
      <c r="M90" s="842"/>
      <c r="N90" s="842"/>
      <c r="O90" s="822"/>
      <c r="P90" s="822"/>
      <c r="Q90" s="822"/>
      <c r="R90" s="822"/>
      <c r="S90" s="256" t="s">
        <v>547</v>
      </c>
      <c r="T90" s="254">
        <v>1100000</v>
      </c>
      <c r="U90" s="255">
        <v>2474069800</v>
      </c>
      <c r="V90" s="144"/>
    </row>
    <row r="91" spans="1:22" s="150" customFormat="1" ht="18.75" customHeight="1">
      <c r="A91" s="144">
        <v>88</v>
      </c>
      <c r="B91" s="429">
        <v>42895</v>
      </c>
      <c r="C91" s="243" t="s">
        <v>755</v>
      </c>
      <c r="D91" s="243" t="s">
        <v>758</v>
      </c>
      <c r="E91" s="243">
        <v>5382093</v>
      </c>
      <c r="F91" s="427">
        <v>2030</v>
      </c>
      <c r="G91" s="391">
        <f t="shared" ref="G91:G92" si="15">F91*13</f>
        <v>26390</v>
      </c>
      <c r="H91" s="428">
        <v>2.65</v>
      </c>
      <c r="I91" s="392">
        <f t="shared" si="14"/>
        <v>69933.5</v>
      </c>
      <c r="J91" s="866"/>
      <c r="K91" s="822"/>
      <c r="L91" s="844"/>
      <c r="M91" s="842"/>
      <c r="N91" s="842"/>
      <c r="O91" s="822"/>
      <c r="P91" s="822"/>
      <c r="Q91" s="822"/>
      <c r="R91" s="822"/>
      <c r="S91" s="256" t="s">
        <v>56</v>
      </c>
      <c r="T91" s="254">
        <v>1100000</v>
      </c>
      <c r="U91" s="255">
        <v>2645173000</v>
      </c>
      <c r="V91" s="144"/>
    </row>
    <row r="92" spans="1:22" s="150" customFormat="1" ht="18.75" customHeight="1">
      <c r="A92" s="144">
        <v>89</v>
      </c>
      <c r="B92" s="429">
        <v>42895</v>
      </c>
      <c r="C92" s="243" t="s">
        <v>755</v>
      </c>
      <c r="D92" s="243" t="s">
        <v>759</v>
      </c>
      <c r="E92" s="243">
        <v>5382084</v>
      </c>
      <c r="F92" s="427">
        <v>2030</v>
      </c>
      <c r="G92" s="391">
        <f t="shared" si="15"/>
        <v>26390</v>
      </c>
      <c r="H92" s="428">
        <v>2.65</v>
      </c>
      <c r="I92" s="392">
        <f t="shared" si="14"/>
        <v>69933.5</v>
      </c>
      <c r="J92" s="866"/>
      <c r="K92" s="822"/>
      <c r="L92" s="845"/>
      <c r="M92" s="831"/>
      <c r="N92" s="831"/>
      <c r="O92" s="823"/>
      <c r="P92" s="823"/>
      <c r="Q92" s="823"/>
      <c r="R92" s="823"/>
      <c r="S92" s="253"/>
      <c r="T92" s="254"/>
      <c r="U92" s="255"/>
      <c r="V92" s="461">
        <f>R89-SUM(T89:U92)</f>
        <v>-741.60000038146973</v>
      </c>
    </row>
    <row r="93" spans="1:22" s="150" customFormat="1" ht="18" customHeight="1">
      <c r="A93" s="144">
        <v>90</v>
      </c>
      <c r="B93" s="300">
        <v>42902</v>
      </c>
      <c r="C93" s="243" t="s">
        <v>760</v>
      </c>
      <c r="D93" s="243" t="s">
        <v>761</v>
      </c>
      <c r="E93" s="243">
        <v>5360430</v>
      </c>
      <c r="F93" s="427">
        <v>2030</v>
      </c>
      <c r="G93" s="316">
        <f t="shared" ref="G93:G216" si="16">F93*13</f>
        <v>26390</v>
      </c>
      <c r="H93" s="299">
        <v>2.75</v>
      </c>
      <c r="I93" s="320">
        <f t="shared" si="7"/>
        <v>72572.5</v>
      </c>
      <c r="J93" s="830">
        <f>SUM(I93:I94)</f>
        <v>145145</v>
      </c>
      <c r="K93" s="822"/>
      <c r="L93" s="843">
        <v>42972</v>
      </c>
      <c r="M93" s="830">
        <f>SUM(J93:J98)-N93</f>
        <v>220</v>
      </c>
      <c r="N93" s="830">
        <v>435215</v>
      </c>
      <c r="O93" s="821">
        <v>22690</v>
      </c>
      <c r="P93" s="821">
        <f>N93*O93</f>
        <v>9875028350</v>
      </c>
      <c r="Q93" s="821"/>
      <c r="R93" s="821">
        <f>P93-Q93</f>
        <v>9875028350</v>
      </c>
      <c r="S93" s="256" t="s">
        <v>397</v>
      </c>
      <c r="T93" s="298">
        <v>1100000</v>
      </c>
      <c r="U93" s="255">
        <v>2328910000</v>
      </c>
      <c r="V93" s="144"/>
    </row>
    <row r="94" spans="1:22" s="150" customFormat="1" ht="18" customHeight="1">
      <c r="A94" s="144">
        <v>91</v>
      </c>
      <c r="B94" s="429">
        <v>42902</v>
      </c>
      <c r="C94" s="243" t="s">
        <v>760</v>
      </c>
      <c r="D94" s="243" t="s">
        <v>762</v>
      </c>
      <c r="E94" s="243">
        <v>5360491</v>
      </c>
      <c r="F94" s="427">
        <v>2030</v>
      </c>
      <c r="G94" s="316">
        <f t="shared" si="16"/>
        <v>26390</v>
      </c>
      <c r="H94" s="428">
        <v>2.75</v>
      </c>
      <c r="I94" s="320">
        <f t="shared" si="7"/>
        <v>72572.5</v>
      </c>
      <c r="J94" s="831"/>
      <c r="K94" s="823"/>
      <c r="L94" s="844"/>
      <c r="M94" s="842"/>
      <c r="N94" s="842"/>
      <c r="O94" s="822"/>
      <c r="P94" s="822"/>
      <c r="Q94" s="822"/>
      <c r="R94" s="822"/>
      <c r="S94" s="256" t="s">
        <v>888</v>
      </c>
      <c r="T94" s="298">
        <v>1100000</v>
      </c>
      <c r="U94" s="298">
        <v>2000000000</v>
      </c>
      <c r="V94" s="144"/>
    </row>
    <row r="95" spans="1:22" s="150" customFormat="1" ht="18" customHeight="1">
      <c r="A95" s="144">
        <v>92</v>
      </c>
      <c r="B95" s="300">
        <v>42916</v>
      </c>
      <c r="C95" s="243" t="s">
        <v>763</v>
      </c>
      <c r="D95" s="243" t="s">
        <v>764</v>
      </c>
      <c r="E95" s="243">
        <v>5382413</v>
      </c>
      <c r="F95" s="452">
        <v>2030</v>
      </c>
      <c r="G95" s="316">
        <f t="shared" si="16"/>
        <v>26390</v>
      </c>
      <c r="H95" s="455">
        <v>2.75</v>
      </c>
      <c r="I95" s="320">
        <f t="shared" si="7"/>
        <v>72572.5</v>
      </c>
      <c r="J95" s="830">
        <f>SUM(I95:I98)</f>
        <v>290290</v>
      </c>
      <c r="K95" s="821">
        <f>10*51000000+46999580</f>
        <v>556999580</v>
      </c>
      <c r="L95" s="844"/>
      <c r="M95" s="842"/>
      <c r="N95" s="842"/>
      <c r="O95" s="822"/>
      <c r="P95" s="822"/>
      <c r="Q95" s="822"/>
      <c r="R95" s="822"/>
      <c r="S95" s="256" t="s">
        <v>55</v>
      </c>
      <c r="T95" s="298">
        <v>1100000</v>
      </c>
      <c r="U95" s="298">
        <v>2000000000</v>
      </c>
      <c r="V95" s="144"/>
    </row>
    <row r="96" spans="1:22" s="150" customFormat="1" ht="18" customHeight="1">
      <c r="A96" s="144">
        <v>93</v>
      </c>
      <c r="B96" s="456">
        <v>42916</v>
      </c>
      <c r="C96" s="243" t="s">
        <v>763</v>
      </c>
      <c r="D96" s="243" t="s">
        <v>765</v>
      </c>
      <c r="E96" s="243">
        <v>5351043</v>
      </c>
      <c r="F96" s="452">
        <v>2030</v>
      </c>
      <c r="G96" s="316">
        <f t="shared" si="16"/>
        <v>26390</v>
      </c>
      <c r="H96" s="455">
        <v>2.75</v>
      </c>
      <c r="I96" s="320">
        <f t="shared" si="7"/>
        <v>72572.5</v>
      </c>
      <c r="J96" s="842"/>
      <c r="K96" s="822"/>
      <c r="L96" s="844"/>
      <c r="M96" s="842"/>
      <c r="N96" s="842"/>
      <c r="O96" s="822"/>
      <c r="P96" s="822"/>
      <c r="Q96" s="822"/>
      <c r="R96" s="822"/>
      <c r="S96" s="256" t="s">
        <v>56</v>
      </c>
      <c r="T96" s="298">
        <v>1100000</v>
      </c>
      <c r="U96" s="298">
        <v>3541720000</v>
      </c>
      <c r="V96" s="144"/>
    </row>
    <row r="97" spans="1:22" s="150" customFormat="1" ht="18" customHeight="1">
      <c r="A97" s="144">
        <v>94</v>
      </c>
      <c r="B97" s="456">
        <v>42916</v>
      </c>
      <c r="C97" s="243" t="s">
        <v>763</v>
      </c>
      <c r="D97" s="243" t="s">
        <v>766</v>
      </c>
      <c r="E97" s="243">
        <v>5382305</v>
      </c>
      <c r="F97" s="452">
        <v>2030</v>
      </c>
      <c r="G97" s="316">
        <f t="shared" si="16"/>
        <v>26390</v>
      </c>
      <c r="H97" s="455">
        <v>2.75</v>
      </c>
      <c r="I97" s="320">
        <f t="shared" si="7"/>
        <v>72572.5</v>
      </c>
      <c r="J97" s="842"/>
      <c r="K97" s="822"/>
      <c r="L97" s="844"/>
      <c r="M97" s="842"/>
      <c r="N97" s="842"/>
      <c r="O97" s="822"/>
      <c r="P97" s="822"/>
      <c r="Q97" s="822"/>
      <c r="R97" s="822"/>
      <c r="S97" s="298"/>
      <c r="T97" s="298"/>
      <c r="U97" s="298"/>
      <c r="V97" s="144"/>
    </row>
    <row r="98" spans="1:22" s="150" customFormat="1" ht="18" customHeight="1">
      <c r="A98" s="144">
        <v>95</v>
      </c>
      <c r="B98" s="456">
        <v>42916</v>
      </c>
      <c r="C98" s="243" t="s">
        <v>763</v>
      </c>
      <c r="D98" s="243" t="s">
        <v>767</v>
      </c>
      <c r="E98" s="243">
        <v>5382306</v>
      </c>
      <c r="F98" s="452">
        <v>2030</v>
      </c>
      <c r="G98" s="316">
        <f t="shared" si="16"/>
        <v>26390</v>
      </c>
      <c r="H98" s="455">
        <v>2.75</v>
      </c>
      <c r="I98" s="320">
        <f t="shared" si="7"/>
        <v>72572.5</v>
      </c>
      <c r="J98" s="831"/>
      <c r="K98" s="822"/>
      <c r="L98" s="845"/>
      <c r="M98" s="831"/>
      <c r="N98" s="831"/>
      <c r="O98" s="823"/>
      <c r="P98" s="823"/>
      <c r="Q98" s="823"/>
      <c r="R98" s="823"/>
      <c r="S98" s="298"/>
      <c r="T98" s="298"/>
      <c r="U98" s="298"/>
      <c r="V98" s="461">
        <f>R93-SUM(T93:U98)</f>
        <v>-1650</v>
      </c>
    </row>
    <row r="99" spans="1:22" s="150" customFormat="1" ht="18" customHeight="1">
      <c r="A99" s="144">
        <v>96</v>
      </c>
      <c r="B99" s="456">
        <v>42923</v>
      </c>
      <c r="C99" s="243" t="s">
        <v>768</v>
      </c>
      <c r="D99" s="245" t="s">
        <v>769</v>
      </c>
      <c r="E99" s="243">
        <v>5386296</v>
      </c>
      <c r="F99" s="470">
        <v>2030</v>
      </c>
      <c r="G99" s="470">
        <f t="shared" ref="G99:G104" si="17">F99*13</f>
        <v>26390</v>
      </c>
      <c r="H99" s="472">
        <v>2.7</v>
      </c>
      <c r="I99" s="471">
        <f t="shared" ref="I99:I104" si="18">G99*H99</f>
        <v>71253</v>
      </c>
      <c r="J99" s="830">
        <f>SUM(I99:I104)</f>
        <v>427518</v>
      </c>
      <c r="K99" s="822"/>
      <c r="L99" s="843">
        <v>42985</v>
      </c>
      <c r="M99" s="830">
        <v>110</v>
      </c>
      <c r="N99" s="830">
        <f>J99-M99</f>
        <v>427408</v>
      </c>
      <c r="O99" s="821">
        <v>22690</v>
      </c>
      <c r="P99" s="821">
        <f>N99*O99</f>
        <v>9697887520</v>
      </c>
      <c r="Q99" s="821"/>
      <c r="R99" s="821">
        <f>P99-Q99</f>
        <v>9697887520</v>
      </c>
      <c r="S99" s="256" t="s">
        <v>547</v>
      </c>
      <c r="T99" s="254">
        <v>1100000</v>
      </c>
      <c r="U99" s="255">
        <v>2531965000</v>
      </c>
      <c r="V99" s="144"/>
    </row>
    <row r="100" spans="1:22" s="150" customFormat="1" ht="18" customHeight="1">
      <c r="A100" s="144">
        <v>97</v>
      </c>
      <c r="B100" s="473">
        <v>42923</v>
      </c>
      <c r="C100" s="243" t="s">
        <v>768</v>
      </c>
      <c r="D100" s="243" t="s">
        <v>770</v>
      </c>
      <c r="E100" s="243">
        <v>5386299</v>
      </c>
      <c r="F100" s="470">
        <v>2030</v>
      </c>
      <c r="G100" s="470">
        <f t="shared" si="17"/>
        <v>26390</v>
      </c>
      <c r="H100" s="472">
        <v>2.7</v>
      </c>
      <c r="I100" s="471">
        <f t="shared" si="18"/>
        <v>71253</v>
      </c>
      <c r="J100" s="842"/>
      <c r="K100" s="822"/>
      <c r="L100" s="844"/>
      <c r="M100" s="842"/>
      <c r="N100" s="842"/>
      <c r="O100" s="822"/>
      <c r="P100" s="822"/>
      <c r="Q100" s="822"/>
      <c r="R100" s="822"/>
      <c r="S100" s="256" t="s">
        <v>394</v>
      </c>
      <c r="T100" s="254">
        <v>1100000</v>
      </c>
      <c r="U100" s="255">
        <v>1290562000</v>
      </c>
      <c r="V100" s="144"/>
    </row>
    <row r="101" spans="1:22" s="150" customFormat="1" ht="18" customHeight="1">
      <c r="A101" s="144">
        <v>98</v>
      </c>
      <c r="B101" s="473">
        <v>42923</v>
      </c>
      <c r="C101" s="243" t="s">
        <v>768</v>
      </c>
      <c r="D101" s="243" t="s">
        <v>771</v>
      </c>
      <c r="E101" s="243">
        <v>5386236</v>
      </c>
      <c r="F101" s="470">
        <v>2030</v>
      </c>
      <c r="G101" s="470">
        <f t="shared" si="17"/>
        <v>26390</v>
      </c>
      <c r="H101" s="472">
        <v>2.7</v>
      </c>
      <c r="I101" s="471">
        <f t="shared" si="18"/>
        <v>71253</v>
      </c>
      <c r="J101" s="842"/>
      <c r="K101" s="822"/>
      <c r="L101" s="844"/>
      <c r="M101" s="842"/>
      <c r="N101" s="842"/>
      <c r="O101" s="822"/>
      <c r="P101" s="822"/>
      <c r="Q101" s="822"/>
      <c r="R101" s="822"/>
      <c r="S101" s="256" t="s">
        <v>890</v>
      </c>
      <c r="T101" s="254">
        <v>1100000</v>
      </c>
      <c r="U101" s="255">
        <v>1307104000</v>
      </c>
      <c r="V101" s="144"/>
    </row>
    <row r="102" spans="1:22" s="487" customFormat="1" ht="18" customHeight="1">
      <c r="A102" s="144">
        <v>99</v>
      </c>
      <c r="B102" s="481">
        <v>42923</v>
      </c>
      <c r="C102" s="482" t="s">
        <v>768</v>
      </c>
      <c r="D102" s="483" t="s">
        <v>772</v>
      </c>
      <c r="E102" s="482">
        <v>6310270</v>
      </c>
      <c r="F102" s="484">
        <v>2030</v>
      </c>
      <c r="G102" s="484">
        <f t="shared" si="17"/>
        <v>26390</v>
      </c>
      <c r="H102" s="485">
        <v>2.7</v>
      </c>
      <c r="I102" s="486">
        <f t="shared" si="18"/>
        <v>71253</v>
      </c>
      <c r="J102" s="842"/>
      <c r="K102" s="822"/>
      <c r="L102" s="844"/>
      <c r="M102" s="842"/>
      <c r="N102" s="842"/>
      <c r="O102" s="822"/>
      <c r="P102" s="822"/>
      <c r="Q102" s="822"/>
      <c r="R102" s="822"/>
      <c r="S102" s="256" t="s">
        <v>400</v>
      </c>
      <c r="T102" s="254">
        <v>1100000</v>
      </c>
      <c r="U102" s="255">
        <v>1326838000</v>
      </c>
      <c r="V102" s="527" t="s">
        <v>812</v>
      </c>
    </row>
    <row r="103" spans="1:22" s="150" customFormat="1" ht="18.75" customHeight="1">
      <c r="A103" s="144">
        <v>100</v>
      </c>
      <c r="B103" s="473">
        <v>42923</v>
      </c>
      <c r="C103" s="243" t="s">
        <v>768</v>
      </c>
      <c r="D103" s="245" t="s">
        <v>773</v>
      </c>
      <c r="E103" s="243">
        <v>5374092</v>
      </c>
      <c r="F103" s="470">
        <v>2030</v>
      </c>
      <c r="G103" s="470">
        <f t="shared" si="17"/>
        <v>26390</v>
      </c>
      <c r="H103" s="472">
        <v>2.7</v>
      </c>
      <c r="I103" s="471">
        <f t="shared" si="18"/>
        <v>71253</v>
      </c>
      <c r="J103" s="842"/>
      <c r="K103" s="822"/>
      <c r="L103" s="844"/>
      <c r="M103" s="842"/>
      <c r="N103" s="842"/>
      <c r="O103" s="822"/>
      <c r="P103" s="822"/>
      <c r="Q103" s="822"/>
      <c r="R103" s="822"/>
      <c r="S103" s="256" t="s">
        <v>891</v>
      </c>
      <c r="T103" s="254">
        <v>1100000</v>
      </c>
      <c r="U103" s="255">
        <v>1280539000</v>
      </c>
      <c r="V103" s="144"/>
    </row>
    <row r="104" spans="1:22" s="150" customFormat="1" ht="18.75" customHeight="1">
      <c r="A104" s="144">
        <v>101</v>
      </c>
      <c r="B104" s="473">
        <v>42923</v>
      </c>
      <c r="C104" s="243" t="s">
        <v>768</v>
      </c>
      <c r="D104" s="148" t="s">
        <v>774</v>
      </c>
      <c r="E104" s="243">
        <v>5386291</v>
      </c>
      <c r="F104" s="470">
        <v>2030</v>
      </c>
      <c r="G104" s="470">
        <f t="shared" si="17"/>
        <v>26390</v>
      </c>
      <c r="H104" s="472">
        <v>2.7</v>
      </c>
      <c r="I104" s="471">
        <f t="shared" si="18"/>
        <v>71253</v>
      </c>
      <c r="J104" s="831"/>
      <c r="K104" s="823"/>
      <c r="L104" s="845"/>
      <c r="M104" s="831"/>
      <c r="N104" s="831"/>
      <c r="O104" s="823"/>
      <c r="P104" s="823"/>
      <c r="Q104" s="823"/>
      <c r="R104" s="823"/>
      <c r="S104" s="256" t="s">
        <v>56</v>
      </c>
      <c r="T104" s="254">
        <v>1100000</v>
      </c>
      <c r="U104" s="255">
        <v>1742279000</v>
      </c>
      <c r="V104" s="461">
        <f>R99-SUM(T99:U104)-K139</f>
        <v>520</v>
      </c>
    </row>
    <row r="105" spans="1:22" s="426" customFormat="1" ht="18" customHeight="1">
      <c r="A105" s="144">
        <v>102</v>
      </c>
      <c r="B105" s="417">
        <v>42931</v>
      </c>
      <c r="C105" s="418" t="s">
        <v>861</v>
      </c>
      <c r="D105" s="609" t="s">
        <v>857</v>
      </c>
      <c r="E105" s="416">
        <v>6310271</v>
      </c>
      <c r="F105" s="420">
        <v>2030</v>
      </c>
      <c r="G105" s="420">
        <f t="shared" ref="G105:G110" si="19">F105*13</f>
        <v>26390</v>
      </c>
      <c r="H105" s="421">
        <v>2.8</v>
      </c>
      <c r="I105" s="422">
        <f t="shared" ref="I105:I110" si="20">G105*H105</f>
        <v>73892</v>
      </c>
      <c r="J105" s="819">
        <f>SUM(I105:I108)</f>
        <v>295568</v>
      </c>
      <c r="K105" s="821">
        <f>10*51000000+'ZHOUSHAN - CT-2017'!F271+'ZHOUSHAN - CT-2017'!F272</f>
        <v>564434540</v>
      </c>
      <c r="L105" s="843">
        <v>43011</v>
      </c>
      <c r="M105" s="830">
        <f>J105-N105</f>
        <v>17.679999999993015</v>
      </c>
      <c r="N105" s="830">
        <v>295550.32</v>
      </c>
      <c r="O105" s="821">
        <v>22690</v>
      </c>
      <c r="P105" s="821">
        <f>N105*O105</f>
        <v>6706036760.8000002</v>
      </c>
      <c r="Q105" s="821">
        <v>2503600</v>
      </c>
      <c r="R105" s="821">
        <f>P105-Q105</f>
        <v>6703533160.8000002</v>
      </c>
      <c r="S105" s="643" t="s">
        <v>391</v>
      </c>
      <c r="T105" s="610">
        <v>147555720</v>
      </c>
      <c r="U105" s="610"/>
      <c r="V105" s="416"/>
    </row>
    <row r="106" spans="1:22" s="426" customFormat="1" ht="18" customHeight="1">
      <c r="A106" s="144">
        <v>103</v>
      </c>
      <c r="B106" s="417">
        <v>42931</v>
      </c>
      <c r="C106" s="418" t="s">
        <v>861</v>
      </c>
      <c r="D106" s="611" t="s">
        <v>858</v>
      </c>
      <c r="E106" s="418">
        <v>6310287</v>
      </c>
      <c r="F106" s="420">
        <v>2030</v>
      </c>
      <c r="G106" s="420">
        <f t="shared" si="19"/>
        <v>26390</v>
      </c>
      <c r="H106" s="421">
        <v>2.8</v>
      </c>
      <c r="I106" s="422">
        <f t="shared" si="20"/>
        <v>73892</v>
      </c>
      <c r="J106" s="834"/>
      <c r="K106" s="822"/>
      <c r="L106" s="844"/>
      <c r="M106" s="842"/>
      <c r="N106" s="842"/>
      <c r="O106" s="822"/>
      <c r="P106" s="822"/>
      <c r="Q106" s="822"/>
      <c r="R106" s="822"/>
      <c r="S106" s="643" t="s">
        <v>1019</v>
      </c>
      <c r="T106" s="610">
        <v>1357141500</v>
      </c>
      <c r="U106" s="610"/>
      <c r="V106" s="416"/>
    </row>
    <row r="107" spans="1:22" s="426" customFormat="1" ht="18" customHeight="1">
      <c r="A107" s="144">
        <v>104</v>
      </c>
      <c r="B107" s="417">
        <v>42931</v>
      </c>
      <c r="C107" s="418" t="s">
        <v>861</v>
      </c>
      <c r="D107" s="612" t="s">
        <v>859</v>
      </c>
      <c r="E107" s="613">
        <v>6310193</v>
      </c>
      <c r="F107" s="420">
        <v>2030</v>
      </c>
      <c r="G107" s="420">
        <f t="shared" si="19"/>
        <v>26390</v>
      </c>
      <c r="H107" s="421">
        <v>2.8</v>
      </c>
      <c r="I107" s="422">
        <f t="shared" si="20"/>
        <v>73892</v>
      </c>
      <c r="J107" s="834"/>
      <c r="K107" s="822"/>
      <c r="L107" s="844"/>
      <c r="M107" s="842"/>
      <c r="N107" s="842"/>
      <c r="O107" s="822"/>
      <c r="P107" s="822"/>
      <c r="Q107" s="822"/>
      <c r="R107" s="822"/>
      <c r="S107" s="139" t="s">
        <v>1043</v>
      </c>
      <c r="T107" s="424"/>
      <c r="U107" s="425">
        <v>4562835940.8000002</v>
      </c>
      <c r="V107" s="416"/>
    </row>
    <row r="108" spans="1:22" s="426" customFormat="1" ht="18" customHeight="1">
      <c r="A108" s="144">
        <v>105</v>
      </c>
      <c r="B108" s="417">
        <v>42931</v>
      </c>
      <c r="C108" s="418" t="s">
        <v>861</v>
      </c>
      <c r="D108" s="609" t="s">
        <v>860</v>
      </c>
      <c r="E108" s="615">
        <v>6310197</v>
      </c>
      <c r="F108" s="420">
        <v>2030</v>
      </c>
      <c r="G108" s="420">
        <f t="shared" si="19"/>
        <v>26390</v>
      </c>
      <c r="H108" s="421">
        <v>2.8</v>
      </c>
      <c r="I108" s="422">
        <f t="shared" si="20"/>
        <v>73892</v>
      </c>
      <c r="J108" s="820"/>
      <c r="K108" s="822"/>
      <c r="L108" s="845"/>
      <c r="M108" s="831"/>
      <c r="N108" s="831"/>
      <c r="O108" s="823"/>
      <c r="P108" s="823"/>
      <c r="Q108" s="823"/>
      <c r="R108" s="823"/>
      <c r="S108" s="614"/>
      <c r="T108" s="424"/>
      <c r="U108" s="425"/>
      <c r="V108" s="461">
        <f>R105-SUM(T105:U108)-K157</f>
        <v>0</v>
      </c>
    </row>
    <row r="109" spans="1:22" s="150" customFormat="1" ht="18.75" customHeight="1">
      <c r="A109" s="144">
        <v>106</v>
      </c>
      <c r="B109" s="495">
        <v>42931</v>
      </c>
      <c r="C109" s="243" t="s">
        <v>861</v>
      </c>
      <c r="D109" s="523" t="s">
        <v>851</v>
      </c>
      <c r="E109" s="243">
        <v>5364706</v>
      </c>
      <c r="F109" s="493">
        <v>2030</v>
      </c>
      <c r="G109" s="452">
        <f t="shared" si="19"/>
        <v>26390</v>
      </c>
      <c r="H109" s="494">
        <v>2.8</v>
      </c>
      <c r="I109" s="454">
        <f t="shared" si="20"/>
        <v>73892</v>
      </c>
      <c r="J109" s="830">
        <f>SUM(I109:I114)</f>
        <v>443352</v>
      </c>
      <c r="K109" s="822"/>
      <c r="L109" s="843">
        <v>42993</v>
      </c>
      <c r="M109" s="830">
        <v>220</v>
      </c>
      <c r="N109" s="830">
        <f>J109-M109</f>
        <v>443132</v>
      </c>
      <c r="O109" s="821">
        <v>22690</v>
      </c>
      <c r="P109" s="821">
        <f>N109*O109</f>
        <v>10054665080</v>
      </c>
      <c r="Q109" s="821"/>
      <c r="R109" s="821">
        <f>P109-Q109</f>
        <v>10054665080</v>
      </c>
      <c r="S109" s="256" t="s">
        <v>891</v>
      </c>
      <c r="T109" s="254">
        <f>U109*0.055%</f>
        <v>682181.5</v>
      </c>
      <c r="U109" s="255">
        <v>1240330000</v>
      </c>
      <c r="V109" s="144"/>
    </row>
    <row r="110" spans="1:22" s="150" customFormat="1" ht="18.75" customHeight="1">
      <c r="A110" s="144">
        <v>107</v>
      </c>
      <c r="B110" s="495">
        <v>42931</v>
      </c>
      <c r="C110" s="243" t="s">
        <v>861</v>
      </c>
      <c r="D110" s="524" t="s">
        <v>852</v>
      </c>
      <c r="E110" s="243">
        <v>5364716</v>
      </c>
      <c r="F110" s="493">
        <v>2030</v>
      </c>
      <c r="G110" s="452">
        <f t="shared" si="19"/>
        <v>26390</v>
      </c>
      <c r="H110" s="494">
        <v>2.8</v>
      </c>
      <c r="I110" s="454">
        <f t="shared" si="20"/>
        <v>73892</v>
      </c>
      <c r="J110" s="842"/>
      <c r="K110" s="822"/>
      <c r="L110" s="844"/>
      <c r="M110" s="842"/>
      <c r="N110" s="842"/>
      <c r="O110" s="822"/>
      <c r="P110" s="822"/>
      <c r="Q110" s="822"/>
      <c r="R110" s="822"/>
      <c r="S110" s="256" t="s">
        <v>547</v>
      </c>
      <c r="T110" s="254">
        <f t="shared" ref="T110:T111" si="21">U110*0.055%</f>
        <v>1354892</v>
      </c>
      <c r="U110" s="255">
        <v>2463440000</v>
      </c>
      <c r="V110" s="144"/>
    </row>
    <row r="111" spans="1:22" s="150" customFormat="1" ht="18" customHeight="1">
      <c r="A111" s="144">
        <v>108</v>
      </c>
      <c r="B111" s="495">
        <v>42931</v>
      </c>
      <c r="C111" s="243" t="s">
        <v>861</v>
      </c>
      <c r="D111" s="525" t="s">
        <v>853</v>
      </c>
      <c r="E111" s="243">
        <v>5364751</v>
      </c>
      <c r="F111" s="493">
        <v>2030</v>
      </c>
      <c r="G111" s="452">
        <f t="shared" si="16"/>
        <v>26390</v>
      </c>
      <c r="H111" s="494">
        <v>2.8</v>
      </c>
      <c r="I111" s="454">
        <f t="shared" si="7"/>
        <v>73892</v>
      </c>
      <c r="J111" s="842"/>
      <c r="K111" s="822"/>
      <c r="L111" s="844"/>
      <c r="M111" s="842"/>
      <c r="N111" s="842"/>
      <c r="O111" s="822"/>
      <c r="P111" s="822"/>
      <c r="Q111" s="822"/>
      <c r="R111" s="822"/>
      <c r="S111" s="256" t="s">
        <v>394</v>
      </c>
      <c r="T111" s="254">
        <f t="shared" si="21"/>
        <v>3431684.3000000003</v>
      </c>
      <c r="U111" s="255">
        <v>6239426000</v>
      </c>
      <c r="V111" s="144"/>
    </row>
    <row r="112" spans="1:22" s="150" customFormat="1" ht="18" customHeight="1">
      <c r="A112" s="144">
        <v>109</v>
      </c>
      <c r="B112" s="495">
        <v>42931</v>
      </c>
      <c r="C112" s="243" t="s">
        <v>861</v>
      </c>
      <c r="D112" s="521" t="s">
        <v>854</v>
      </c>
      <c r="E112" s="243">
        <v>5364823</v>
      </c>
      <c r="F112" s="493">
        <v>2030</v>
      </c>
      <c r="G112" s="452">
        <f t="shared" si="16"/>
        <v>26390</v>
      </c>
      <c r="H112" s="494">
        <v>2.8</v>
      </c>
      <c r="I112" s="454">
        <f t="shared" si="7"/>
        <v>73892</v>
      </c>
      <c r="J112" s="842"/>
      <c r="K112" s="822"/>
      <c r="L112" s="844"/>
      <c r="M112" s="842"/>
      <c r="N112" s="842"/>
      <c r="O112" s="822"/>
      <c r="P112" s="822"/>
      <c r="Q112" s="822"/>
      <c r="R112" s="822"/>
      <c r="S112" s="453"/>
      <c r="T112" s="453"/>
      <c r="U112" s="453"/>
      <c r="V112" s="144"/>
    </row>
    <row r="113" spans="1:22" s="150" customFormat="1" ht="18" customHeight="1">
      <c r="A113" s="144">
        <v>110</v>
      </c>
      <c r="B113" s="495">
        <v>42931</v>
      </c>
      <c r="C113" s="243" t="s">
        <v>861</v>
      </c>
      <c r="D113" s="522" t="s">
        <v>855</v>
      </c>
      <c r="E113" s="243">
        <v>5364826</v>
      </c>
      <c r="F113" s="493">
        <v>2030</v>
      </c>
      <c r="G113" s="452">
        <f t="shared" si="16"/>
        <v>26390</v>
      </c>
      <c r="H113" s="494">
        <v>2.8</v>
      </c>
      <c r="I113" s="454">
        <f t="shared" si="7"/>
        <v>73892</v>
      </c>
      <c r="J113" s="842"/>
      <c r="K113" s="822"/>
      <c r="L113" s="844"/>
      <c r="M113" s="842"/>
      <c r="N113" s="842"/>
      <c r="O113" s="822"/>
      <c r="P113" s="822"/>
      <c r="Q113" s="822"/>
      <c r="R113" s="822"/>
      <c r="S113" s="253"/>
      <c r="T113" s="254"/>
      <c r="U113" s="255"/>
      <c r="V113" s="144"/>
    </row>
    <row r="114" spans="1:22" s="150" customFormat="1" ht="18" customHeight="1">
      <c r="A114" s="144">
        <v>111</v>
      </c>
      <c r="B114" s="495">
        <v>42931</v>
      </c>
      <c r="C114" s="243" t="s">
        <v>861</v>
      </c>
      <c r="D114" s="521" t="s">
        <v>856</v>
      </c>
      <c r="E114" s="243">
        <v>5364825</v>
      </c>
      <c r="F114" s="493">
        <v>2030</v>
      </c>
      <c r="G114" s="452">
        <f t="shared" si="16"/>
        <v>26390</v>
      </c>
      <c r="H114" s="494">
        <v>2.8</v>
      </c>
      <c r="I114" s="454">
        <f t="shared" si="7"/>
        <v>73892</v>
      </c>
      <c r="J114" s="831"/>
      <c r="K114" s="823"/>
      <c r="L114" s="845"/>
      <c r="M114" s="831"/>
      <c r="N114" s="831"/>
      <c r="O114" s="823"/>
      <c r="P114" s="823"/>
      <c r="Q114" s="823"/>
      <c r="R114" s="823"/>
      <c r="S114" s="253"/>
      <c r="T114" s="254"/>
      <c r="U114" s="255"/>
      <c r="V114" s="461">
        <f>R109-SUM(T109:U114)-K149</f>
        <v>322.20000076293945</v>
      </c>
    </row>
    <row r="115" spans="1:22" s="150" customFormat="1" ht="18.75" customHeight="1">
      <c r="A115" s="144">
        <v>112</v>
      </c>
      <c r="B115" s="456">
        <v>42937</v>
      </c>
      <c r="C115" s="243" t="s">
        <v>874</v>
      </c>
      <c r="D115" s="521" t="s">
        <v>862</v>
      </c>
      <c r="E115" s="243">
        <v>5364883</v>
      </c>
      <c r="F115" s="497">
        <v>2030</v>
      </c>
      <c r="G115" s="452">
        <f t="shared" si="16"/>
        <v>26390</v>
      </c>
      <c r="H115" s="498">
        <v>2.8</v>
      </c>
      <c r="I115" s="454">
        <f t="shared" si="7"/>
        <v>73892</v>
      </c>
      <c r="J115" s="830">
        <f>SUM(I115:I120)</f>
        <v>443352</v>
      </c>
      <c r="K115" s="821">
        <f>6*51000000+'ZHOUSHAN - CT-2017'!F291+'ZHOUSHAN - CT-2017'!F292</f>
        <v>338865760</v>
      </c>
      <c r="L115" s="843">
        <v>42998</v>
      </c>
      <c r="M115" s="830">
        <v>220</v>
      </c>
      <c r="N115" s="830">
        <f>J115-M115</f>
        <v>443132</v>
      </c>
      <c r="O115" s="821">
        <v>22690</v>
      </c>
      <c r="P115" s="821">
        <f>N115*O115</f>
        <v>10054665080</v>
      </c>
      <c r="Q115" s="821"/>
      <c r="R115" s="821">
        <f>P115-Q115</f>
        <v>10054665080</v>
      </c>
      <c r="S115" s="253" t="s">
        <v>547</v>
      </c>
      <c r="T115" s="254">
        <v>3362716.5</v>
      </c>
      <c r="U115" s="255">
        <v>6114030000</v>
      </c>
      <c r="V115" s="144"/>
    </row>
    <row r="116" spans="1:22" s="150" customFormat="1" ht="18.75" customHeight="1">
      <c r="A116" s="144">
        <v>113</v>
      </c>
      <c r="B116" s="499">
        <v>42937</v>
      </c>
      <c r="C116" s="243" t="s">
        <v>874</v>
      </c>
      <c r="D116" s="521" t="s">
        <v>863</v>
      </c>
      <c r="E116" s="243">
        <v>5353504</v>
      </c>
      <c r="F116" s="497">
        <v>2030</v>
      </c>
      <c r="G116" s="452">
        <f t="shared" si="16"/>
        <v>26390</v>
      </c>
      <c r="H116" s="498">
        <v>2.8</v>
      </c>
      <c r="I116" s="454">
        <f t="shared" si="7"/>
        <v>73892</v>
      </c>
      <c r="J116" s="842"/>
      <c r="K116" s="822"/>
      <c r="L116" s="844"/>
      <c r="M116" s="842"/>
      <c r="N116" s="842"/>
      <c r="O116" s="822"/>
      <c r="P116" s="822"/>
      <c r="Q116" s="822"/>
      <c r="R116" s="822"/>
      <c r="S116" s="253" t="s">
        <v>394</v>
      </c>
      <c r="T116" s="254">
        <v>1814725</v>
      </c>
      <c r="U116" s="255">
        <v>3299500000</v>
      </c>
      <c r="V116" s="144"/>
    </row>
    <row r="117" spans="1:22" s="150" customFormat="1" ht="18" customHeight="1">
      <c r="A117" s="144">
        <v>114</v>
      </c>
      <c r="B117" s="499">
        <v>42937</v>
      </c>
      <c r="C117" s="243" t="s">
        <v>874</v>
      </c>
      <c r="D117" s="521" t="s">
        <v>864</v>
      </c>
      <c r="E117" s="243">
        <v>5364894</v>
      </c>
      <c r="F117" s="497">
        <v>2030</v>
      </c>
      <c r="G117" s="452">
        <f t="shared" ref="G117:G122" si="22">F117*13</f>
        <v>26390</v>
      </c>
      <c r="H117" s="498">
        <v>2.8</v>
      </c>
      <c r="I117" s="454">
        <f t="shared" ref="I117:I122" si="23">G117*H117</f>
        <v>73892</v>
      </c>
      <c r="J117" s="842"/>
      <c r="K117" s="822"/>
      <c r="L117" s="844"/>
      <c r="M117" s="842"/>
      <c r="N117" s="842"/>
      <c r="O117" s="822"/>
      <c r="P117" s="822"/>
      <c r="Q117" s="822"/>
      <c r="R117" s="822"/>
      <c r="S117" s="453"/>
      <c r="T117" s="453"/>
      <c r="U117" s="453"/>
      <c r="V117" s="144"/>
    </row>
    <row r="118" spans="1:22" s="150" customFormat="1" ht="18" customHeight="1">
      <c r="A118" s="144">
        <v>115</v>
      </c>
      <c r="B118" s="499">
        <v>42937</v>
      </c>
      <c r="C118" s="243" t="s">
        <v>874</v>
      </c>
      <c r="D118" s="521" t="s">
        <v>865</v>
      </c>
      <c r="E118" s="243">
        <v>5364897</v>
      </c>
      <c r="F118" s="497">
        <v>2030</v>
      </c>
      <c r="G118" s="452">
        <f t="shared" si="22"/>
        <v>26390</v>
      </c>
      <c r="H118" s="498">
        <v>2.8</v>
      </c>
      <c r="I118" s="454">
        <f t="shared" si="23"/>
        <v>73892</v>
      </c>
      <c r="J118" s="842"/>
      <c r="K118" s="822"/>
      <c r="L118" s="844"/>
      <c r="M118" s="842"/>
      <c r="N118" s="842"/>
      <c r="O118" s="822"/>
      <c r="P118" s="822"/>
      <c r="Q118" s="822"/>
      <c r="R118" s="822"/>
      <c r="S118" s="453"/>
      <c r="T118" s="453"/>
      <c r="U118" s="453"/>
      <c r="V118" s="144"/>
    </row>
    <row r="119" spans="1:22" s="150" customFormat="1" ht="18" customHeight="1">
      <c r="A119" s="144">
        <v>116</v>
      </c>
      <c r="B119" s="499">
        <v>42937</v>
      </c>
      <c r="C119" s="243" t="s">
        <v>874</v>
      </c>
      <c r="D119" s="521" t="s">
        <v>866</v>
      </c>
      <c r="E119" s="243">
        <v>5353682</v>
      </c>
      <c r="F119" s="497">
        <v>2030</v>
      </c>
      <c r="G119" s="452">
        <f t="shared" si="22"/>
        <v>26390</v>
      </c>
      <c r="H119" s="498">
        <v>2.8</v>
      </c>
      <c r="I119" s="454">
        <f t="shared" si="23"/>
        <v>73892</v>
      </c>
      <c r="J119" s="842"/>
      <c r="K119" s="822"/>
      <c r="L119" s="844"/>
      <c r="M119" s="842"/>
      <c r="N119" s="842"/>
      <c r="O119" s="822"/>
      <c r="P119" s="822"/>
      <c r="Q119" s="822"/>
      <c r="R119" s="822"/>
      <c r="S119" s="253"/>
      <c r="T119" s="254"/>
      <c r="U119" s="255"/>
      <c r="V119" s="144"/>
    </row>
    <row r="120" spans="1:22" s="150" customFormat="1" ht="18" customHeight="1">
      <c r="A120" s="144">
        <v>117</v>
      </c>
      <c r="B120" s="499">
        <v>42937</v>
      </c>
      <c r="C120" s="243" t="s">
        <v>874</v>
      </c>
      <c r="D120" s="521" t="s">
        <v>867</v>
      </c>
      <c r="E120" s="243">
        <v>6310234</v>
      </c>
      <c r="F120" s="497">
        <v>2030</v>
      </c>
      <c r="G120" s="452">
        <f t="shared" si="22"/>
        <v>26390</v>
      </c>
      <c r="H120" s="498">
        <v>2.8</v>
      </c>
      <c r="I120" s="454">
        <f t="shared" si="23"/>
        <v>73892</v>
      </c>
      <c r="J120" s="831"/>
      <c r="K120" s="823"/>
      <c r="L120" s="845"/>
      <c r="M120" s="831"/>
      <c r="N120" s="831"/>
      <c r="O120" s="823"/>
      <c r="P120" s="823"/>
      <c r="Q120" s="823"/>
      <c r="R120" s="823"/>
      <c r="S120" s="253"/>
      <c r="T120" s="254"/>
      <c r="U120" s="255"/>
      <c r="V120" s="461">
        <f>R115-SUM(T115:U120)-K143</f>
        <v>-42361.5</v>
      </c>
    </row>
    <row r="121" spans="1:22" s="150" customFormat="1" ht="18.75" customHeight="1">
      <c r="A121" s="144">
        <v>118</v>
      </c>
      <c r="B121" s="499">
        <v>42938</v>
      </c>
      <c r="C121" s="243" t="s">
        <v>874</v>
      </c>
      <c r="D121" s="526" t="s">
        <v>868</v>
      </c>
      <c r="E121" s="243">
        <v>5353693</v>
      </c>
      <c r="F121" s="497">
        <v>2030</v>
      </c>
      <c r="G121" s="452">
        <f t="shared" si="22"/>
        <v>26390</v>
      </c>
      <c r="H121" s="498">
        <v>2.8</v>
      </c>
      <c r="I121" s="454">
        <f t="shared" si="23"/>
        <v>73892</v>
      </c>
      <c r="J121" s="830">
        <f>SUM(I121:I126)</f>
        <v>443352</v>
      </c>
      <c r="K121" s="821">
        <f>18*53000000+'ZHOUSHAN - CT-2017'!F356</f>
        <v>1012770140</v>
      </c>
      <c r="L121" s="843">
        <v>43033</v>
      </c>
      <c r="M121" s="830">
        <v>17.73</v>
      </c>
      <c r="N121" s="830">
        <f>J121-M121</f>
        <v>443334.27</v>
      </c>
      <c r="O121" s="821">
        <v>22690</v>
      </c>
      <c r="P121" s="821">
        <f>N121*O121</f>
        <v>10059254586.300001</v>
      </c>
      <c r="Q121" s="821">
        <v>2503600</v>
      </c>
      <c r="R121" s="821">
        <f>P121-Q121</f>
        <v>10056750986.300001</v>
      </c>
      <c r="S121" s="643" t="s">
        <v>1123</v>
      </c>
      <c r="T121" s="254">
        <v>40640600</v>
      </c>
      <c r="U121" s="255"/>
      <c r="V121" s="144"/>
    </row>
    <row r="122" spans="1:22" s="150" customFormat="1" ht="18.75" customHeight="1">
      <c r="A122" s="144">
        <v>119</v>
      </c>
      <c r="B122" s="499">
        <v>42938</v>
      </c>
      <c r="C122" s="243" t="s">
        <v>874</v>
      </c>
      <c r="D122" s="521" t="s">
        <v>869</v>
      </c>
      <c r="E122" s="243">
        <v>5353673</v>
      </c>
      <c r="F122" s="497">
        <v>2030</v>
      </c>
      <c r="G122" s="452">
        <f t="shared" si="22"/>
        <v>26390</v>
      </c>
      <c r="H122" s="498">
        <v>2.8</v>
      </c>
      <c r="I122" s="454">
        <f t="shared" si="23"/>
        <v>73892</v>
      </c>
      <c r="J122" s="842"/>
      <c r="K122" s="822"/>
      <c r="L122" s="844"/>
      <c r="M122" s="842"/>
      <c r="N122" s="842"/>
      <c r="O122" s="822"/>
      <c r="P122" s="822"/>
      <c r="Q122" s="822"/>
      <c r="R122" s="822"/>
      <c r="S122" s="643" t="s">
        <v>547</v>
      </c>
      <c r="T122" s="254">
        <v>2420089.1</v>
      </c>
      <c r="U122" s="255">
        <v>4400162000</v>
      </c>
      <c r="V122" s="144"/>
    </row>
    <row r="123" spans="1:22" s="150" customFormat="1" ht="18" customHeight="1">
      <c r="A123" s="144">
        <v>120</v>
      </c>
      <c r="B123" s="499">
        <v>42938</v>
      </c>
      <c r="C123" s="243" t="s">
        <v>874</v>
      </c>
      <c r="D123" s="521" t="s">
        <v>870</v>
      </c>
      <c r="E123" s="243">
        <v>5353625</v>
      </c>
      <c r="F123" s="497">
        <v>2030</v>
      </c>
      <c r="G123" s="452">
        <f t="shared" ref="G123:G210" si="24">F123*13</f>
        <v>26390</v>
      </c>
      <c r="H123" s="498">
        <v>2.8</v>
      </c>
      <c r="I123" s="454">
        <f t="shared" ref="I123:I210" si="25">G123*H123</f>
        <v>73892</v>
      </c>
      <c r="J123" s="842"/>
      <c r="K123" s="822"/>
      <c r="L123" s="844"/>
      <c r="M123" s="842"/>
      <c r="N123" s="842"/>
      <c r="O123" s="822"/>
      <c r="P123" s="822"/>
      <c r="Q123" s="822"/>
      <c r="R123" s="822"/>
      <c r="S123" s="139" t="s">
        <v>394</v>
      </c>
      <c r="T123" s="453">
        <v>2229456.9</v>
      </c>
      <c r="U123" s="453">
        <v>4053558000</v>
      </c>
      <c r="V123" s="144"/>
    </row>
    <row r="124" spans="1:22" s="150" customFormat="1" ht="18" customHeight="1">
      <c r="A124" s="144">
        <v>121</v>
      </c>
      <c r="B124" s="499">
        <v>42938</v>
      </c>
      <c r="C124" s="243" t="s">
        <v>874</v>
      </c>
      <c r="D124" s="521" t="s">
        <v>871</v>
      </c>
      <c r="E124" s="243">
        <v>4855300</v>
      </c>
      <c r="F124" s="497">
        <v>2030</v>
      </c>
      <c r="G124" s="452">
        <f t="shared" si="24"/>
        <v>26390</v>
      </c>
      <c r="H124" s="498">
        <v>2.8</v>
      </c>
      <c r="I124" s="454">
        <f t="shared" si="25"/>
        <v>73892</v>
      </c>
      <c r="J124" s="842"/>
      <c r="K124" s="822"/>
      <c r="L124" s="844"/>
      <c r="M124" s="842"/>
      <c r="N124" s="842"/>
      <c r="O124" s="822"/>
      <c r="P124" s="822"/>
      <c r="Q124" s="822"/>
      <c r="R124" s="822"/>
      <c r="S124" s="139" t="s">
        <v>56</v>
      </c>
      <c r="T124" s="453">
        <v>215380</v>
      </c>
      <c r="U124" s="453">
        <v>391600000</v>
      </c>
      <c r="V124" s="144"/>
    </row>
    <row r="125" spans="1:22" s="150" customFormat="1" ht="18" customHeight="1">
      <c r="A125" s="144">
        <v>122</v>
      </c>
      <c r="B125" s="499">
        <v>42938</v>
      </c>
      <c r="C125" s="243" t="s">
        <v>874</v>
      </c>
      <c r="D125" s="521" t="s">
        <v>872</v>
      </c>
      <c r="E125" s="243">
        <v>4855291</v>
      </c>
      <c r="F125" s="497">
        <v>2030</v>
      </c>
      <c r="G125" s="452">
        <f t="shared" si="24"/>
        <v>26390</v>
      </c>
      <c r="H125" s="498">
        <v>2.8</v>
      </c>
      <c r="I125" s="454">
        <f t="shared" si="25"/>
        <v>73892</v>
      </c>
      <c r="J125" s="842"/>
      <c r="K125" s="822"/>
      <c r="L125" s="844"/>
      <c r="M125" s="842"/>
      <c r="N125" s="842"/>
      <c r="O125" s="822"/>
      <c r="P125" s="822"/>
      <c r="Q125" s="822"/>
      <c r="R125" s="822"/>
      <c r="S125" s="253"/>
      <c r="T125" s="254"/>
      <c r="U125" s="255"/>
      <c r="V125" s="144"/>
    </row>
    <row r="126" spans="1:22" s="150" customFormat="1" ht="18" customHeight="1">
      <c r="A126" s="144">
        <v>123</v>
      </c>
      <c r="B126" s="499">
        <v>42938</v>
      </c>
      <c r="C126" s="243" t="s">
        <v>874</v>
      </c>
      <c r="D126" s="521" t="s">
        <v>873</v>
      </c>
      <c r="E126" s="243">
        <v>4855292</v>
      </c>
      <c r="F126" s="497">
        <v>2030</v>
      </c>
      <c r="G126" s="452">
        <f t="shared" si="24"/>
        <v>26390</v>
      </c>
      <c r="H126" s="498">
        <v>2.8</v>
      </c>
      <c r="I126" s="454">
        <f t="shared" si="25"/>
        <v>73892</v>
      </c>
      <c r="J126" s="831"/>
      <c r="K126" s="822"/>
      <c r="L126" s="845"/>
      <c r="M126" s="831"/>
      <c r="N126" s="831"/>
      <c r="O126" s="823"/>
      <c r="P126" s="823"/>
      <c r="Q126" s="823"/>
      <c r="R126" s="823"/>
      <c r="S126" s="253"/>
      <c r="T126" s="254"/>
      <c r="U126" s="255"/>
      <c r="V126" s="461">
        <f>R121-SUM(T121:U126)-K169</f>
        <v>-74539.699998855591</v>
      </c>
    </row>
    <row r="127" spans="1:22" s="150" customFormat="1" ht="18.75" customHeight="1">
      <c r="A127" s="144">
        <v>124</v>
      </c>
      <c r="B127" s="504">
        <v>42945</v>
      </c>
      <c r="C127" s="243" t="s">
        <v>1045</v>
      </c>
      <c r="D127" s="243" t="s">
        <v>1046</v>
      </c>
      <c r="E127" s="243">
        <v>5357489</v>
      </c>
      <c r="F127" s="500">
        <v>2030</v>
      </c>
      <c r="G127" s="500">
        <f t="shared" ref="G127:G140" si="26">F127*13</f>
        <v>26390</v>
      </c>
      <c r="H127" s="503">
        <v>2.7</v>
      </c>
      <c r="I127" s="502">
        <f t="shared" ref="I127:I140" si="27">G127*H127</f>
        <v>71253</v>
      </c>
      <c r="J127" s="830">
        <f>SUM(I127:I132)</f>
        <v>427518</v>
      </c>
      <c r="K127" s="822"/>
      <c r="L127" s="843">
        <v>43038</v>
      </c>
      <c r="M127" s="830">
        <v>17.63</v>
      </c>
      <c r="N127" s="830">
        <f>J127-M127</f>
        <v>427500.37</v>
      </c>
      <c r="O127" s="821">
        <v>22680</v>
      </c>
      <c r="P127" s="821">
        <f>N127*O127</f>
        <v>9695708391.6000004</v>
      </c>
      <c r="Q127" s="821">
        <v>2502500</v>
      </c>
      <c r="R127" s="821">
        <f>P127-Q127</f>
        <v>9693205891.6000004</v>
      </c>
      <c r="S127" s="253"/>
      <c r="T127" s="254"/>
      <c r="U127" s="255"/>
      <c r="V127" s="144"/>
    </row>
    <row r="128" spans="1:22" s="150" customFormat="1" ht="18.75" customHeight="1">
      <c r="A128" s="144">
        <v>125</v>
      </c>
      <c r="B128" s="518">
        <v>42945</v>
      </c>
      <c r="C128" s="243" t="s">
        <v>1045</v>
      </c>
      <c r="D128" s="243" t="s">
        <v>1047</v>
      </c>
      <c r="E128" s="243">
        <v>5357439</v>
      </c>
      <c r="F128" s="500">
        <v>2030</v>
      </c>
      <c r="G128" s="500">
        <f t="shared" si="26"/>
        <v>26390</v>
      </c>
      <c r="H128" s="517">
        <v>2.7</v>
      </c>
      <c r="I128" s="502">
        <f t="shared" si="27"/>
        <v>71253</v>
      </c>
      <c r="J128" s="842"/>
      <c r="K128" s="822"/>
      <c r="L128" s="844"/>
      <c r="M128" s="842"/>
      <c r="N128" s="842"/>
      <c r="O128" s="822"/>
      <c r="P128" s="822"/>
      <c r="Q128" s="822"/>
      <c r="R128" s="822"/>
      <c r="S128" s="253"/>
      <c r="T128" s="254"/>
      <c r="U128" s="255"/>
      <c r="V128" s="144"/>
    </row>
    <row r="129" spans="1:22" s="150" customFormat="1" ht="18" customHeight="1">
      <c r="A129" s="144">
        <v>126</v>
      </c>
      <c r="B129" s="518">
        <v>42945</v>
      </c>
      <c r="C129" s="243" t="s">
        <v>1045</v>
      </c>
      <c r="D129" s="243" t="s">
        <v>1048</v>
      </c>
      <c r="E129" s="243">
        <v>5357313</v>
      </c>
      <c r="F129" s="500">
        <v>2030</v>
      </c>
      <c r="G129" s="500">
        <f t="shared" si="26"/>
        <v>26390</v>
      </c>
      <c r="H129" s="517">
        <v>2.7</v>
      </c>
      <c r="I129" s="502">
        <f t="shared" si="27"/>
        <v>71253</v>
      </c>
      <c r="J129" s="842"/>
      <c r="K129" s="822"/>
      <c r="L129" s="844"/>
      <c r="M129" s="842"/>
      <c r="N129" s="842"/>
      <c r="O129" s="822"/>
      <c r="P129" s="822"/>
      <c r="Q129" s="822"/>
      <c r="R129" s="822"/>
      <c r="S129" s="501"/>
      <c r="T129" s="501"/>
      <c r="U129" s="501"/>
      <c r="V129" s="144"/>
    </row>
    <row r="130" spans="1:22" s="150" customFormat="1" ht="18" customHeight="1">
      <c r="A130" s="144">
        <v>127</v>
      </c>
      <c r="B130" s="518">
        <v>42945</v>
      </c>
      <c r="C130" s="243" t="s">
        <v>1045</v>
      </c>
      <c r="D130" s="243" t="s">
        <v>1049</v>
      </c>
      <c r="E130" s="243">
        <v>5357497</v>
      </c>
      <c r="F130" s="500">
        <v>2030</v>
      </c>
      <c r="G130" s="500">
        <f t="shared" si="26"/>
        <v>26390</v>
      </c>
      <c r="H130" s="517">
        <v>2.7</v>
      </c>
      <c r="I130" s="502">
        <f t="shared" si="27"/>
        <v>71253</v>
      </c>
      <c r="J130" s="842"/>
      <c r="K130" s="822"/>
      <c r="L130" s="844"/>
      <c r="M130" s="842"/>
      <c r="N130" s="842"/>
      <c r="O130" s="822"/>
      <c r="P130" s="822"/>
      <c r="Q130" s="822"/>
      <c r="R130" s="822"/>
      <c r="S130" s="501"/>
      <c r="T130" s="501"/>
      <c r="U130" s="501"/>
      <c r="V130" s="144"/>
    </row>
    <row r="131" spans="1:22" s="150" customFormat="1" ht="18" customHeight="1">
      <c r="A131" s="144">
        <v>128</v>
      </c>
      <c r="B131" s="518">
        <v>42945</v>
      </c>
      <c r="C131" s="243" t="s">
        <v>1045</v>
      </c>
      <c r="D131" s="243" t="s">
        <v>1050</v>
      </c>
      <c r="E131" s="243">
        <v>5357435</v>
      </c>
      <c r="F131" s="500">
        <v>2030</v>
      </c>
      <c r="G131" s="500">
        <f t="shared" si="26"/>
        <v>26390</v>
      </c>
      <c r="H131" s="517">
        <v>2.7</v>
      </c>
      <c r="I131" s="502">
        <f t="shared" si="27"/>
        <v>71253</v>
      </c>
      <c r="J131" s="842"/>
      <c r="K131" s="822"/>
      <c r="L131" s="844"/>
      <c r="M131" s="842"/>
      <c r="N131" s="842"/>
      <c r="O131" s="822"/>
      <c r="P131" s="822"/>
      <c r="Q131" s="822"/>
      <c r="R131" s="822"/>
      <c r="S131" s="253"/>
      <c r="T131" s="254"/>
      <c r="U131" s="255"/>
      <c r="V131" s="144"/>
    </row>
    <row r="132" spans="1:22" s="150" customFormat="1" ht="18" customHeight="1">
      <c r="A132" s="144">
        <v>129</v>
      </c>
      <c r="B132" s="518">
        <v>42945</v>
      </c>
      <c r="C132" s="243" t="s">
        <v>1045</v>
      </c>
      <c r="D132" s="243" t="s">
        <v>1051</v>
      </c>
      <c r="E132" s="243">
        <v>5357498</v>
      </c>
      <c r="F132" s="500">
        <v>2030</v>
      </c>
      <c r="G132" s="500">
        <f t="shared" si="26"/>
        <v>26390</v>
      </c>
      <c r="H132" s="517">
        <v>2.7</v>
      </c>
      <c r="I132" s="502">
        <f t="shared" si="27"/>
        <v>71253</v>
      </c>
      <c r="J132" s="831"/>
      <c r="K132" s="822"/>
      <c r="L132" s="845"/>
      <c r="M132" s="831"/>
      <c r="N132" s="831"/>
      <c r="O132" s="823"/>
      <c r="P132" s="823"/>
      <c r="Q132" s="823"/>
      <c r="R132" s="823"/>
      <c r="S132" s="253"/>
      <c r="T132" s="254"/>
      <c r="U132" s="255"/>
      <c r="V132" s="144"/>
    </row>
    <row r="133" spans="1:22" s="150" customFormat="1" ht="18.75" customHeight="1">
      <c r="A133" s="144">
        <v>130</v>
      </c>
      <c r="B133" s="518">
        <v>42946</v>
      </c>
      <c r="C133" s="243" t="s">
        <v>1045</v>
      </c>
      <c r="D133" s="245" t="s">
        <v>1052</v>
      </c>
      <c r="E133" s="243">
        <v>4855278</v>
      </c>
      <c r="F133" s="500">
        <v>2030</v>
      </c>
      <c r="G133" s="500">
        <f t="shared" si="26"/>
        <v>26390</v>
      </c>
      <c r="H133" s="517">
        <v>2.7</v>
      </c>
      <c r="I133" s="502">
        <f t="shared" si="27"/>
        <v>71253</v>
      </c>
      <c r="J133" s="830">
        <f>SUM(I133:I138)</f>
        <v>427518</v>
      </c>
      <c r="K133" s="822"/>
      <c r="L133" s="843">
        <v>43045</v>
      </c>
      <c r="M133" s="830">
        <f>J133+J139-N133</f>
        <v>17.439999999944121</v>
      </c>
      <c r="N133" s="830">
        <v>562089.56000000006</v>
      </c>
      <c r="O133" s="821">
        <v>22680</v>
      </c>
      <c r="P133" s="821">
        <f>N133*O133</f>
        <v>12748191220.800001</v>
      </c>
      <c r="Q133" s="821">
        <v>2502500</v>
      </c>
      <c r="R133" s="821">
        <f>P133-Q133</f>
        <v>12745688720.800001</v>
      </c>
      <c r="S133" s="253"/>
      <c r="T133" s="254"/>
      <c r="U133" s="255"/>
      <c r="V133" s="144"/>
    </row>
    <row r="134" spans="1:22" s="150" customFormat="1" ht="18.75" customHeight="1">
      <c r="A134" s="144">
        <v>131</v>
      </c>
      <c r="B134" s="518">
        <v>42946</v>
      </c>
      <c r="C134" s="243" t="s">
        <v>1045</v>
      </c>
      <c r="D134" s="243" t="s">
        <v>1053</v>
      </c>
      <c r="E134" s="243">
        <v>4855277</v>
      </c>
      <c r="F134" s="500">
        <v>2030</v>
      </c>
      <c r="G134" s="500">
        <f t="shared" si="26"/>
        <v>26390</v>
      </c>
      <c r="H134" s="517">
        <v>2.7</v>
      </c>
      <c r="I134" s="502">
        <f t="shared" si="27"/>
        <v>71253</v>
      </c>
      <c r="J134" s="842"/>
      <c r="K134" s="822"/>
      <c r="L134" s="844"/>
      <c r="M134" s="842"/>
      <c r="N134" s="842"/>
      <c r="O134" s="822"/>
      <c r="P134" s="822"/>
      <c r="Q134" s="822"/>
      <c r="R134" s="822"/>
      <c r="S134" s="253"/>
      <c r="T134" s="254"/>
      <c r="U134" s="255"/>
      <c r="V134" s="144"/>
    </row>
    <row r="135" spans="1:22" s="150" customFormat="1" ht="18.75" customHeight="1">
      <c r="A135" s="144">
        <v>132</v>
      </c>
      <c r="B135" s="518">
        <v>42946</v>
      </c>
      <c r="C135" s="243" t="s">
        <v>1045</v>
      </c>
      <c r="D135" s="243" t="s">
        <v>1054</v>
      </c>
      <c r="E135" s="243">
        <v>5357311</v>
      </c>
      <c r="F135" s="500">
        <v>2030</v>
      </c>
      <c r="G135" s="500">
        <f t="shared" si="26"/>
        <v>26390</v>
      </c>
      <c r="H135" s="517">
        <v>2.7</v>
      </c>
      <c r="I135" s="502">
        <f t="shared" si="27"/>
        <v>71253</v>
      </c>
      <c r="J135" s="842"/>
      <c r="K135" s="822"/>
      <c r="L135" s="844"/>
      <c r="M135" s="842"/>
      <c r="N135" s="842"/>
      <c r="O135" s="822"/>
      <c r="P135" s="822"/>
      <c r="Q135" s="822"/>
      <c r="R135" s="822"/>
      <c r="S135" s="253"/>
      <c r="T135" s="254"/>
      <c r="U135" s="255"/>
      <c r="V135" s="144"/>
    </row>
    <row r="136" spans="1:22" s="150" customFormat="1" ht="18.75" customHeight="1">
      <c r="A136" s="144">
        <v>133</v>
      </c>
      <c r="B136" s="518">
        <v>42946</v>
      </c>
      <c r="C136" s="243" t="s">
        <v>1045</v>
      </c>
      <c r="D136" s="243" t="s">
        <v>1055</v>
      </c>
      <c r="E136" s="243">
        <v>5357303</v>
      </c>
      <c r="F136" s="500">
        <v>2030</v>
      </c>
      <c r="G136" s="500">
        <f t="shared" si="26"/>
        <v>26390</v>
      </c>
      <c r="H136" s="517">
        <v>2.7</v>
      </c>
      <c r="I136" s="502">
        <f t="shared" si="27"/>
        <v>71253</v>
      </c>
      <c r="J136" s="842"/>
      <c r="K136" s="822"/>
      <c r="L136" s="844"/>
      <c r="M136" s="842"/>
      <c r="N136" s="842"/>
      <c r="O136" s="822"/>
      <c r="P136" s="822"/>
      <c r="Q136" s="822"/>
      <c r="R136" s="822"/>
      <c r="S136" s="253"/>
      <c r="T136" s="254"/>
      <c r="U136" s="255"/>
      <c r="V136" s="144"/>
    </row>
    <row r="137" spans="1:22" s="150" customFormat="1" ht="18" customHeight="1">
      <c r="A137" s="144">
        <v>134</v>
      </c>
      <c r="B137" s="518">
        <v>42946</v>
      </c>
      <c r="C137" s="243" t="s">
        <v>1045</v>
      </c>
      <c r="D137" s="243" t="s">
        <v>1056</v>
      </c>
      <c r="E137" s="243">
        <v>5357352</v>
      </c>
      <c r="F137" s="500">
        <v>2030</v>
      </c>
      <c r="G137" s="500">
        <f t="shared" si="26"/>
        <v>26390</v>
      </c>
      <c r="H137" s="517">
        <v>2.7</v>
      </c>
      <c r="I137" s="502">
        <f t="shared" si="27"/>
        <v>71253</v>
      </c>
      <c r="J137" s="842"/>
      <c r="K137" s="822"/>
      <c r="L137" s="844"/>
      <c r="M137" s="842"/>
      <c r="N137" s="842"/>
      <c r="O137" s="822"/>
      <c r="P137" s="822"/>
      <c r="Q137" s="822"/>
      <c r="R137" s="822"/>
      <c r="S137" s="501"/>
      <c r="T137" s="501"/>
      <c r="U137" s="501"/>
      <c r="V137" s="144"/>
    </row>
    <row r="138" spans="1:22" s="150" customFormat="1" ht="18" customHeight="1">
      <c r="A138" s="144">
        <v>135</v>
      </c>
      <c r="B138" s="518">
        <v>42946</v>
      </c>
      <c r="C138" s="243" t="s">
        <v>1045</v>
      </c>
      <c r="D138" s="243" t="s">
        <v>1057</v>
      </c>
      <c r="E138" s="243">
        <v>4855275</v>
      </c>
      <c r="F138" s="500">
        <v>2030</v>
      </c>
      <c r="G138" s="500">
        <f t="shared" si="26"/>
        <v>26390</v>
      </c>
      <c r="H138" s="517">
        <v>2.7</v>
      </c>
      <c r="I138" s="502">
        <f t="shared" si="27"/>
        <v>71253</v>
      </c>
      <c r="J138" s="831"/>
      <c r="K138" s="823"/>
      <c r="L138" s="844"/>
      <c r="M138" s="842"/>
      <c r="N138" s="842"/>
      <c r="O138" s="822"/>
      <c r="P138" s="822"/>
      <c r="Q138" s="822"/>
      <c r="R138" s="822"/>
      <c r="S138" s="501"/>
      <c r="T138" s="501"/>
      <c r="U138" s="501"/>
      <c r="V138" s="144"/>
    </row>
    <row r="139" spans="1:22" s="150" customFormat="1" ht="18" customHeight="1">
      <c r="A139" s="144">
        <v>136</v>
      </c>
      <c r="B139" s="504">
        <v>42975</v>
      </c>
      <c r="C139" s="243" t="s">
        <v>1058</v>
      </c>
      <c r="D139" s="243" t="s">
        <v>1059</v>
      </c>
      <c r="E139" s="243">
        <v>6305354</v>
      </c>
      <c r="F139" s="539">
        <v>2030</v>
      </c>
      <c r="G139" s="500">
        <f t="shared" si="26"/>
        <v>26390</v>
      </c>
      <c r="H139" s="503">
        <v>2.5499999999999998</v>
      </c>
      <c r="I139" s="502">
        <f t="shared" si="27"/>
        <v>67294.5</v>
      </c>
      <c r="J139" s="830">
        <f>SUM(I139:I140)</f>
        <v>134589</v>
      </c>
      <c r="K139" s="821">
        <f>53000000*4</f>
        <v>212000000</v>
      </c>
      <c r="L139" s="844"/>
      <c r="M139" s="842"/>
      <c r="N139" s="842"/>
      <c r="O139" s="822"/>
      <c r="P139" s="822"/>
      <c r="Q139" s="822"/>
      <c r="R139" s="822"/>
      <c r="S139" s="253"/>
      <c r="T139" s="254"/>
      <c r="U139" s="255"/>
      <c r="V139" s="144"/>
    </row>
    <row r="140" spans="1:22" s="150" customFormat="1" ht="18" customHeight="1">
      <c r="A140" s="144">
        <v>137</v>
      </c>
      <c r="B140" s="545">
        <v>42975</v>
      </c>
      <c r="C140" s="243" t="s">
        <v>1058</v>
      </c>
      <c r="D140" s="243" t="s">
        <v>1060</v>
      </c>
      <c r="E140" s="243">
        <v>6305352</v>
      </c>
      <c r="F140" s="539">
        <v>2030</v>
      </c>
      <c r="G140" s="500">
        <f t="shared" si="26"/>
        <v>26390</v>
      </c>
      <c r="H140" s="544">
        <v>2.5499999999999998</v>
      </c>
      <c r="I140" s="502">
        <f t="shared" si="27"/>
        <v>67294.5</v>
      </c>
      <c r="J140" s="831"/>
      <c r="K140" s="822"/>
      <c r="L140" s="845"/>
      <c r="M140" s="831"/>
      <c r="N140" s="831"/>
      <c r="O140" s="823"/>
      <c r="P140" s="823"/>
      <c r="Q140" s="823"/>
      <c r="R140" s="823"/>
      <c r="S140" s="253"/>
      <c r="T140" s="254"/>
      <c r="U140" s="255"/>
      <c r="V140" s="144"/>
    </row>
    <row r="141" spans="1:22" s="150" customFormat="1" ht="18.75" customHeight="1">
      <c r="A141" s="144">
        <v>138</v>
      </c>
      <c r="B141" s="504">
        <v>42984</v>
      </c>
      <c r="C141" s="243" t="s">
        <v>1061</v>
      </c>
      <c r="D141" s="243" t="s">
        <v>1062</v>
      </c>
      <c r="E141" s="243">
        <v>5355689</v>
      </c>
      <c r="F141" s="549">
        <v>2030</v>
      </c>
      <c r="G141" s="500">
        <f>F141*13</f>
        <v>26390</v>
      </c>
      <c r="H141" s="550">
        <v>2.5499999999999998</v>
      </c>
      <c r="I141" s="502">
        <f>G141*H141</f>
        <v>67294.5</v>
      </c>
      <c r="J141" s="830">
        <f>SUM(I141:I142)</f>
        <v>134589</v>
      </c>
      <c r="K141" s="662"/>
      <c r="L141" s="843">
        <v>43049</v>
      </c>
      <c r="M141" s="830">
        <f>J141+J143-N141</f>
        <v>17.380000000004657</v>
      </c>
      <c r="N141" s="830">
        <v>517754.42</v>
      </c>
      <c r="O141" s="821">
        <v>22680</v>
      </c>
      <c r="P141" s="821">
        <f>N141*O141</f>
        <v>11742670245.6</v>
      </c>
      <c r="Q141" s="821">
        <v>2502500</v>
      </c>
      <c r="R141" s="821">
        <f>P141-Q141</f>
        <v>11740167745.6</v>
      </c>
      <c r="S141" s="253"/>
      <c r="T141" s="254"/>
      <c r="U141" s="255"/>
      <c r="V141" s="144"/>
    </row>
    <row r="142" spans="1:22" s="150" customFormat="1" ht="18.75" customHeight="1">
      <c r="A142" s="144">
        <v>139</v>
      </c>
      <c r="B142" s="551">
        <v>42984</v>
      </c>
      <c r="C142" s="243" t="s">
        <v>1061</v>
      </c>
      <c r="D142" s="243" t="s">
        <v>1063</v>
      </c>
      <c r="E142" s="243">
        <v>5355682</v>
      </c>
      <c r="F142" s="549">
        <v>2030</v>
      </c>
      <c r="G142" s="500">
        <f>F142*13</f>
        <v>26390</v>
      </c>
      <c r="H142" s="550">
        <v>2.5499999999999998</v>
      </c>
      <c r="I142" s="502">
        <f>G142*H142</f>
        <v>67294.5</v>
      </c>
      <c r="J142" s="831"/>
      <c r="K142" s="663"/>
      <c r="L142" s="844"/>
      <c r="M142" s="842"/>
      <c r="N142" s="842"/>
      <c r="O142" s="822"/>
      <c r="P142" s="822"/>
      <c r="Q142" s="822"/>
      <c r="R142" s="822"/>
      <c r="S142" s="253"/>
      <c r="T142" s="254"/>
      <c r="U142" s="255"/>
      <c r="V142" s="144"/>
    </row>
    <row r="143" spans="1:22" s="150" customFormat="1" ht="18" customHeight="1">
      <c r="A143" s="144">
        <v>142</v>
      </c>
      <c r="B143" s="504">
        <v>42996</v>
      </c>
      <c r="C143" s="243" t="s">
        <v>1067</v>
      </c>
      <c r="D143" s="245" t="s">
        <v>1074</v>
      </c>
      <c r="E143" s="245">
        <v>6283965</v>
      </c>
      <c r="F143" s="564">
        <v>2030</v>
      </c>
      <c r="G143" s="500">
        <f t="shared" si="24"/>
        <v>26390</v>
      </c>
      <c r="H143" s="565">
        <v>2.42</v>
      </c>
      <c r="I143" s="502">
        <f t="shared" si="25"/>
        <v>63863.799999999996</v>
      </c>
      <c r="J143" s="830">
        <f>SUM(I143:I148)</f>
        <v>383182.8</v>
      </c>
      <c r="K143" s="821">
        <f>53000000*12</f>
        <v>636000000</v>
      </c>
      <c r="L143" s="844"/>
      <c r="M143" s="842"/>
      <c r="N143" s="842"/>
      <c r="O143" s="822"/>
      <c r="P143" s="822"/>
      <c r="Q143" s="822"/>
      <c r="R143" s="822"/>
      <c r="S143" s="501"/>
      <c r="T143" s="501"/>
      <c r="U143" s="501"/>
      <c r="V143" s="144"/>
    </row>
    <row r="144" spans="1:22" s="150" customFormat="1" ht="18" customHeight="1">
      <c r="A144" s="144">
        <v>143</v>
      </c>
      <c r="B144" s="566">
        <v>42996</v>
      </c>
      <c r="C144" s="243" t="s">
        <v>1067</v>
      </c>
      <c r="D144" s="243" t="s">
        <v>1075</v>
      </c>
      <c r="E144" s="243">
        <v>6283983</v>
      </c>
      <c r="F144" s="564">
        <v>2030</v>
      </c>
      <c r="G144" s="500">
        <f t="shared" si="24"/>
        <v>26390</v>
      </c>
      <c r="H144" s="565">
        <v>2.42</v>
      </c>
      <c r="I144" s="502">
        <f t="shared" si="25"/>
        <v>63863.799999999996</v>
      </c>
      <c r="J144" s="842"/>
      <c r="K144" s="822"/>
      <c r="L144" s="844"/>
      <c r="M144" s="842"/>
      <c r="N144" s="842"/>
      <c r="O144" s="822"/>
      <c r="P144" s="822"/>
      <c r="Q144" s="822"/>
      <c r="R144" s="822"/>
      <c r="S144" s="501"/>
      <c r="T144" s="501"/>
      <c r="U144" s="501"/>
      <c r="V144" s="144"/>
    </row>
    <row r="145" spans="1:22" s="150" customFormat="1" ht="18" customHeight="1">
      <c r="A145" s="144">
        <v>144</v>
      </c>
      <c r="B145" s="566">
        <v>42996</v>
      </c>
      <c r="C145" s="243" t="s">
        <v>1067</v>
      </c>
      <c r="D145" s="243" t="s">
        <v>1076</v>
      </c>
      <c r="E145" s="243">
        <v>6283990</v>
      </c>
      <c r="F145" s="564">
        <v>2030</v>
      </c>
      <c r="G145" s="500">
        <f t="shared" si="24"/>
        <v>26390</v>
      </c>
      <c r="H145" s="565">
        <v>2.42</v>
      </c>
      <c r="I145" s="502">
        <f t="shared" si="25"/>
        <v>63863.799999999996</v>
      </c>
      <c r="J145" s="842"/>
      <c r="K145" s="822"/>
      <c r="L145" s="844"/>
      <c r="M145" s="842"/>
      <c r="N145" s="842"/>
      <c r="O145" s="822"/>
      <c r="P145" s="822"/>
      <c r="Q145" s="822"/>
      <c r="R145" s="822"/>
      <c r="S145" s="253"/>
      <c r="T145" s="254"/>
      <c r="U145" s="255"/>
      <c r="V145" s="144"/>
    </row>
    <row r="146" spans="1:22" s="150" customFormat="1" ht="18" customHeight="1">
      <c r="A146" s="144">
        <v>145</v>
      </c>
      <c r="B146" s="566">
        <v>42996</v>
      </c>
      <c r="C146" s="243" t="s">
        <v>1067</v>
      </c>
      <c r="D146" s="243" t="s">
        <v>1077</v>
      </c>
      <c r="E146" s="243">
        <v>6274222</v>
      </c>
      <c r="F146" s="564">
        <v>2030</v>
      </c>
      <c r="G146" s="500">
        <f t="shared" si="24"/>
        <v>26390</v>
      </c>
      <c r="H146" s="565">
        <v>2.42</v>
      </c>
      <c r="I146" s="502">
        <f t="shared" si="25"/>
        <v>63863.799999999996</v>
      </c>
      <c r="J146" s="842"/>
      <c r="K146" s="822"/>
      <c r="L146" s="844"/>
      <c r="M146" s="842"/>
      <c r="N146" s="842"/>
      <c r="O146" s="822"/>
      <c r="P146" s="822"/>
      <c r="Q146" s="822"/>
      <c r="R146" s="822"/>
      <c r="S146" s="253"/>
      <c r="T146" s="254"/>
      <c r="U146" s="255"/>
      <c r="V146" s="144"/>
    </row>
    <row r="147" spans="1:22" s="150" customFormat="1" ht="18.75" customHeight="1">
      <c r="A147" s="144">
        <v>146</v>
      </c>
      <c r="B147" s="566">
        <v>42996</v>
      </c>
      <c r="C147" s="243" t="s">
        <v>1067</v>
      </c>
      <c r="D147" s="245" t="s">
        <v>1078</v>
      </c>
      <c r="E147" s="245" t="s">
        <v>1080</v>
      </c>
      <c r="F147" s="564">
        <v>2030</v>
      </c>
      <c r="G147" s="500">
        <f t="shared" si="24"/>
        <v>26390</v>
      </c>
      <c r="H147" s="565">
        <v>2.42</v>
      </c>
      <c r="I147" s="502">
        <f t="shared" si="25"/>
        <v>63863.799999999996</v>
      </c>
      <c r="J147" s="842"/>
      <c r="K147" s="822"/>
      <c r="L147" s="844"/>
      <c r="M147" s="842"/>
      <c r="N147" s="842"/>
      <c r="O147" s="822"/>
      <c r="P147" s="822"/>
      <c r="Q147" s="822"/>
      <c r="R147" s="822"/>
      <c r="S147" s="253"/>
      <c r="T147" s="254"/>
      <c r="U147" s="255"/>
      <c r="V147" s="144"/>
    </row>
    <row r="148" spans="1:22" s="150" customFormat="1" ht="18.75" customHeight="1">
      <c r="A148" s="144">
        <v>147</v>
      </c>
      <c r="B148" s="566">
        <v>42996</v>
      </c>
      <c r="C148" s="243" t="s">
        <v>1067</v>
      </c>
      <c r="D148" s="243" t="s">
        <v>1079</v>
      </c>
      <c r="E148" s="243">
        <v>6283962</v>
      </c>
      <c r="F148" s="564">
        <v>2030</v>
      </c>
      <c r="G148" s="500">
        <f t="shared" si="24"/>
        <v>26390</v>
      </c>
      <c r="H148" s="565">
        <v>2.42</v>
      </c>
      <c r="I148" s="502">
        <f t="shared" si="25"/>
        <v>63863.799999999996</v>
      </c>
      <c r="J148" s="831"/>
      <c r="K148" s="822"/>
      <c r="L148" s="845"/>
      <c r="M148" s="831"/>
      <c r="N148" s="831"/>
      <c r="O148" s="823"/>
      <c r="P148" s="823"/>
      <c r="Q148" s="823"/>
      <c r="R148" s="823"/>
      <c r="S148" s="253"/>
      <c r="T148" s="254"/>
      <c r="U148" s="255"/>
      <c r="V148" s="144"/>
    </row>
    <row r="149" spans="1:22" s="426" customFormat="1" ht="18.75" customHeight="1">
      <c r="A149" s="416">
        <v>140</v>
      </c>
      <c r="B149" s="417">
        <v>42990</v>
      </c>
      <c r="C149" s="418" t="s">
        <v>1064</v>
      </c>
      <c r="D149" s="418" t="s">
        <v>1065</v>
      </c>
      <c r="E149" s="418">
        <v>6310485</v>
      </c>
      <c r="F149" s="420">
        <v>2030</v>
      </c>
      <c r="G149" s="420">
        <f>F149*13</f>
        <v>26390</v>
      </c>
      <c r="H149" s="421">
        <v>2.42</v>
      </c>
      <c r="I149" s="678">
        <f>G149*H149</f>
        <v>63863.799999999996</v>
      </c>
      <c r="J149" s="819">
        <f>SUM(I149:I150)</f>
        <v>127727.59999999999</v>
      </c>
      <c r="K149" s="835">
        <f>53000000*2</f>
        <v>106000000</v>
      </c>
      <c r="L149" s="843">
        <v>43055</v>
      </c>
      <c r="M149" s="830">
        <f>SUM(J149:J156)-N149</f>
        <v>17.46999999997206</v>
      </c>
      <c r="N149" s="830">
        <v>510892.93</v>
      </c>
      <c r="O149" s="821">
        <v>22680</v>
      </c>
      <c r="P149" s="821">
        <f>N149*O149</f>
        <v>11587051652.4</v>
      </c>
      <c r="Q149" s="821">
        <v>2502500</v>
      </c>
      <c r="R149" s="821">
        <f>P149-Q149</f>
        <v>11584549152.4</v>
      </c>
      <c r="S149" s="614"/>
      <c r="T149" s="424"/>
      <c r="U149" s="425"/>
      <c r="V149" s="416"/>
    </row>
    <row r="150" spans="1:22" s="426" customFormat="1" ht="18.75" customHeight="1">
      <c r="A150" s="416">
        <v>141</v>
      </c>
      <c r="B150" s="417">
        <v>42990</v>
      </c>
      <c r="C150" s="418" t="s">
        <v>1064</v>
      </c>
      <c r="D150" s="418" t="s">
        <v>1066</v>
      </c>
      <c r="E150" s="418">
        <v>6310476</v>
      </c>
      <c r="F150" s="420">
        <v>2030</v>
      </c>
      <c r="G150" s="420">
        <f>F150*13</f>
        <v>26390</v>
      </c>
      <c r="H150" s="421">
        <v>2.42</v>
      </c>
      <c r="I150" s="678">
        <f>G150*H150</f>
        <v>63863.799999999996</v>
      </c>
      <c r="J150" s="820"/>
      <c r="K150" s="837"/>
      <c r="L150" s="844"/>
      <c r="M150" s="842"/>
      <c r="N150" s="842"/>
      <c r="O150" s="822"/>
      <c r="P150" s="822"/>
      <c r="Q150" s="822"/>
      <c r="R150" s="822"/>
      <c r="S150" s="614"/>
      <c r="T150" s="424"/>
      <c r="U150" s="425"/>
      <c r="V150" s="416"/>
    </row>
    <row r="151" spans="1:22" s="150" customFormat="1" ht="18.75" customHeight="1">
      <c r="A151" s="144">
        <v>148</v>
      </c>
      <c r="B151" s="566">
        <v>42996</v>
      </c>
      <c r="C151" s="243" t="s">
        <v>1067</v>
      </c>
      <c r="D151" s="243" t="s">
        <v>1068</v>
      </c>
      <c r="E151" s="243">
        <v>6283992</v>
      </c>
      <c r="F151" s="564">
        <v>2030</v>
      </c>
      <c r="G151" s="500">
        <f t="shared" ref="G151:G158" si="28">F151*13</f>
        <v>26390</v>
      </c>
      <c r="H151" s="565">
        <v>2.42</v>
      </c>
      <c r="I151" s="502">
        <f t="shared" ref="I151:I158" si="29">G151*H151</f>
        <v>63863.799999999996</v>
      </c>
      <c r="J151" s="830">
        <f>SUM(I151:I152)</f>
        <v>127727.59999999999</v>
      </c>
      <c r="K151" s="662"/>
      <c r="L151" s="844"/>
      <c r="M151" s="842"/>
      <c r="N151" s="842"/>
      <c r="O151" s="822"/>
      <c r="P151" s="822"/>
      <c r="Q151" s="822"/>
      <c r="R151" s="822"/>
      <c r="S151" s="253"/>
      <c r="T151" s="254"/>
      <c r="U151" s="255"/>
      <c r="V151" s="144"/>
    </row>
    <row r="152" spans="1:22" s="150" customFormat="1" ht="18.75" customHeight="1">
      <c r="A152" s="144">
        <v>149</v>
      </c>
      <c r="B152" s="566">
        <v>42996</v>
      </c>
      <c r="C152" s="243" t="s">
        <v>1067</v>
      </c>
      <c r="D152" s="243" t="s">
        <v>1069</v>
      </c>
      <c r="E152" s="243">
        <v>6283996</v>
      </c>
      <c r="F152" s="564">
        <v>2030</v>
      </c>
      <c r="G152" s="500">
        <f t="shared" si="28"/>
        <v>26390</v>
      </c>
      <c r="H152" s="565">
        <v>2.42</v>
      </c>
      <c r="I152" s="502">
        <f t="shared" si="29"/>
        <v>63863.799999999996</v>
      </c>
      <c r="J152" s="831"/>
      <c r="K152" s="662"/>
      <c r="L152" s="844"/>
      <c r="M152" s="842"/>
      <c r="N152" s="842"/>
      <c r="O152" s="822"/>
      <c r="P152" s="822"/>
      <c r="Q152" s="822"/>
      <c r="R152" s="822"/>
      <c r="S152" s="253"/>
      <c r="T152" s="254"/>
      <c r="U152" s="255"/>
      <c r="V152" s="144"/>
    </row>
    <row r="153" spans="1:22" s="150" customFormat="1" ht="18" customHeight="1">
      <c r="A153" s="144">
        <v>150</v>
      </c>
      <c r="B153" s="566">
        <v>42997</v>
      </c>
      <c r="C153" s="243" t="s">
        <v>1067</v>
      </c>
      <c r="D153" s="245" t="s">
        <v>1070</v>
      </c>
      <c r="E153" s="243">
        <v>6284000</v>
      </c>
      <c r="F153" s="564">
        <v>2030</v>
      </c>
      <c r="G153" s="500">
        <f t="shared" si="28"/>
        <v>26390</v>
      </c>
      <c r="H153" s="565">
        <v>2.42</v>
      </c>
      <c r="I153" s="502">
        <f t="shared" si="29"/>
        <v>63863.799999999996</v>
      </c>
      <c r="J153" s="830">
        <f>SUM(I153:I156)</f>
        <v>255455.19999999998</v>
      </c>
      <c r="K153" s="662"/>
      <c r="L153" s="844"/>
      <c r="M153" s="842"/>
      <c r="N153" s="842"/>
      <c r="O153" s="822"/>
      <c r="P153" s="822"/>
      <c r="Q153" s="822"/>
      <c r="R153" s="822"/>
      <c r="S153" s="501"/>
      <c r="T153" s="501"/>
      <c r="U153" s="501"/>
      <c r="V153" s="144"/>
    </row>
    <row r="154" spans="1:22" s="150" customFormat="1" ht="18" customHeight="1">
      <c r="A154" s="144">
        <v>151</v>
      </c>
      <c r="B154" s="566">
        <v>42997</v>
      </c>
      <c r="C154" s="243" t="s">
        <v>1067</v>
      </c>
      <c r="D154" s="243" t="s">
        <v>1071</v>
      </c>
      <c r="E154" s="243">
        <v>6283999</v>
      </c>
      <c r="F154" s="564">
        <v>2030</v>
      </c>
      <c r="G154" s="500">
        <f t="shared" si="28"/>
        <v>26390</v>
      </c>
      <c r="H154" s="565">
        <v>2.42</v>
      </c>
      <c r="I154" s="502">
        <f t="shared" si="29"/>
        <v>63863.799999999996</v>
      </c>
      <c r="J154" s="842"/>
      <c r="K154" s="662"/>
      <c r="L154" s="844"/>
      <c r="M154" s="842"/>
      <c r="N154" s="842"/>
      <c r="O154" s="822"/>
      <c r="P154" s="822"/>
      <c r="Q154" s="822"/>
      <c r="R154" s="822"/>
      <c r="S154" s="501"/>
      <c r="T154" s="501"/>
      <c r="U154" s="501"/>
      <c r="V154" s="144"/>
    </row>
    <row r="155" spans="1:22" s="150" customFormat="1" ht="18" customHeight="1">
      <c r="A155" s="144">
        <v>152</v>
      </c>
      <c r="B155" s="566">
        <v>42997</v>
      </c>
      <c r="C155" s="243" t="s">
        <v>1067</v>
      </c>
      <c r="D155" s="243" t="s">
        <v>1072</v>
      </c>
      <c r="E155" s="243">
        <v>6283998</v>
      </c>
      <c r="F155" s="564">
        <v>2030</v>
      </c>
      <c r="G155" s="500">
        <f t="shared" si="28"/>
        <v>26390</v>
      </c>
      <c r="H155" s="565">
        <v>2.42</v>
      </c>
      <c r="I155" s="502">
        <f t="shared" si="29"/>
        <v>63863.799999999996</v>
      </c>
      <c r="J155" s="842"/>
      <c r="K155" s="662"/>
      <c r="L155" s="844"/>
      <c r="M155" s="842"/>
      <c r="N155" s="842"/>
      <c r="O155" s="822"/>
      <c r="P155" s="822"/>
      <c r="Q155" s="822"/>
      <c r="R155" s="822"/>
      <c r="S155" s="253"/>
      <c r="T155" s="254"/>
      <c r="U155" s="255"/>
      <c r="V155" s="144"/>
    </row>
    <row r="156" spans="1:22" s="150" customFormat="1" ht="18" customHeight="1">
      <c r="A156" s="144">
        <v>153</v>
      </c>
      <c r="B156" s="566">
        <v>42997</v>
      </c>
      <c r="C156" s="243" t="s">
        <v>1067</v>
      </c>
      <c r="D156" s="245" t="s">
        <v>1073</v>
      </c>
      <c r="E156" s="243">
        <v>6283991</v>
      </c>
      <c r="F156" s="564">
        <v>2030</v>
      </c>
      <c r="G156" s="500">
        <f t="shared" si="28"/>
        <v>26390</v>
      </c>
      <c r="H156" s="565">
        <v>2.42</v>
      </c>
      <c r="I156" s="502">
        <f t="shared" si="29"/>
        <v>63863.799999999996</v>
      </c>
      <c r="J156" s="831"/>
      <c r="K156" s="663"/>
      <c r="L156" s="845"/>
      <c r="M156" s="831"/>
      <c r="N156" s="831"/>
      <c r="O156" s="823"/>
      <c r="P156" s="823"/>
      <c r="Q156" s="823"/>
      <c r="R156" s="823"/>
      <c r="S156" s="253"/>
      <c r="T156" s="254"/>
      <c r="U156" s="255"/>
      <c r="V156" s="144"/>
    </row>
    <row r="157" spans="1:22" s="150" customFormat="1" ht="18.75" customHeight="1">
      <c r="A157" s="144">
        <v>154</v>
      </c>
      <c r="B157" s="504">
        <v>43010</v>
      </c>
      <c r="C157" s="243" t="s">
        <v>1081</v>
      </c>
      <c r="D157" s="245" t="s">
        <v>1082</v>
      </c>
      <c r="E157" s="245">
        <v>6290456</v>
      </c>
      <c r="F157" s="619">
        <v>2030</v>
      </c>
      <c r="G157" s="500">
        <f t="shared" si="28"/>
        <v>26390</v>
      </c>
      <c r="H157" s="503">
        <v>2.4500000000000002</v>
      </c>
      <c r="I157" s="502">
        <f t="shared" si="29"/>
        <v>64655.500000000007</v>
      </c>
      <c r="J157" s="830">
        <f>SUM(I157:I162)</f>
        <v>387933.00000000006</v>
      </c>
      <c r="K157" s="821">
        <f>53000000*12</f>
        <v>636000000</v>
      </c>
      <c r="L157" s="843">
        <v>43066</v>
      </c>
      <c r="M157" s="830">
        <v>220</v>
      </c>
      <c r="N157" s="830">
        <f>J157-M157</f>
        <v>387713.00000000006</v>
      </c>
      <c r="O157" s="821">
        <v>22690</v>
      </c>
      <c r="P157" s="821">
        <f>N157*O157</f>
        <v>8797207970.0000019</v>
      </c>
      <c r="Q157" s="821"/>
      <c r="R157" s="821">
        <f>P157-Q157</f>
        <v>8797207970.0000019</v>
      </c>
      <c r="S157" s="253"/>
      <c r="T157" s="254"/>
      <c r="U157" s="255"/>
      <c r="V157" s="144"/>
    </row>
    <row r="158" spans="1:22" s="150" customFormat="1" ht="18.75" customHeight="1">
      <c r="A158" s="144">
        <v>155</v>
      </c>
      <c r="B158" s="623">
        <v>43010</v>
      </c>
      <c r="C158" s="243" t="s">
        <v>1081</v>
      </c>
      <c r="D158" s="243" t="s">
        <v>1083</v>
      </c>
      <c r="E158" s="243">
        <v>6273124</v>
      </c>
      <c r="F158" s="619">
        <v>2030</v>
      </c>
      <c r="G158" s="500">
        <f t="shared" si="28"/>
        <v>26390</v>
      </c>
      <c r="H158" s="636">
        <v>2.4500000000000002</v>
      </c>
      <c r="I158" s="502">
        <f t="shared" si="29"/>
        <v>64655.500000000007</v>
      </c>
      <c r="J158" s="842"/>
      <c r="K158" s="822"/>
      <c r="L158" s="844"/>
      <c r="M158" s="842"/>
      <c r="N158" s="842"/>
      <c r="O158" s="822"/>
      <c r="P158" s="822"/>
      <c r="Q158" s="822"/>
      <c r="R158" s="822"/>
      <c r="S158" s="253"/>
      <c r="T158" s="254"/>
      <c r="U158" s="255"/>
      <c r="V158" s="144"/>
    </row>
    <row r="159" spans="1:22" s="150" customFormat="1" ht="18.75" customHeight="1">
      <c r="A159" s="144">
        <v>156</v>
      </c>
      <c r="B159" s="623">
        <v>43010</v>
      </c>
      <c r="C159" s="243" t="s">
        <v>1081</v>
      </c>
      <c r="D159" s="243" t="s">
        <v>1084</v>
      </c>
      <c r="E159" s="243">
        <v>6290451</v>
      </c>
      <c r="F159" s="619">
        <v>2030</v>
      </c>
      <c r="G159" s="500">
        <f t="shared" ref="G159:G166" si="30">F159*13</f>
        <v>26390</v>
      </c>
      <c r="H159" s="636">
        <v>2.4500000000000002</v>
      </c>
      <c r="I159" s="502">
        <f t="shared" ref="I159:I166" si="31">G159*H159</f>
        <v>64655.500000000007</v>
      </c>
      <c r="J159" s="842"/>
      <c r="K159" s="822"/>
      <c r="L159" s="844"/>
      <c r="M159" s="842"/>
      <c r="N159" s="842"/>
      <c r="O159" s="822"/>
      <c r="P159" s="822"/>
      <c r="Q159" s="822"/>
      <c r="R159" s="822"/>
      <c r="S159" s="253"/>
      <c r="T159" s="254"/>
      <c r="U159" s="255"/>
      <c r="V159" s="144"/>
    </row>
    <row r="160" spans="1:22" s="150" customFormat="1" ht="18.75" customHeight="1">
      <c r="A160" s="144">
        <v>157</v>
      </c>
      <c r="B160" s="623">
        <v>43010</v>
      </c>
      <c r="C160" s="243" t="s">
        <v>1081</v>
      </c>
      <c r="D160" s="243" t="s">
        <v>1085</v>
      </c>
      <c r="E160" s="243">
        <v>6273122</v>
      </c>
      <c r="F160" s="619">
        <v>2030</v>
      </c>
      <c r="G160" s="500">
        <f t="shared" si="30"/>
        <v>26390</v>
      </c>
      <c r="H160" s="636">
        <v>2.4500000000000002</v>
      </c>
      <c r="I160" s="502">
        <f t="shared" si="31"/>
        <v>64655.500000000007</v>
      </c>
      <c r="J160" s="842"/>
      <c r="K160" s="822"/>
      <c r="L160" s="844"/>
      <c r="M160" s="842"/>
      <c r="N160" s="842"/>
      <c r="O160" s="822"/>
      <c r="P160" s="822"/>
      <c r="Q160" s="822"/>
      <c r="R160" s="822"/>
      <c r="S160" s="253"/>
      <c r="T160" s="254"/>
      <c r="U160" s="255"/>
      <c r="V160" s="144"/>
    </row>
    <row r="161" spans="1:22" s="150" customFormat="1" ht="18" customHeight="1">
      <c r="A161" s="144">
        <v>158</v>
      </c>
      <c r="B161" s="623">
        <v>43010</v>
      </c>
      <c r="C161" s="243" t="s">
        <v>1081</v>
      </c>
      <c r="D161" s="245" t="s">
        <v>1086</v>
      </c>
      <c r="E161" s="245" t="s">
        <v>1088</v>
      </c>
      <c r="F161" s="619">
        <v>2030</v>
      </c>
      <c r="G161" s="500">
        <f t="shared" si="30"/>
        <v>26390</v>
      </c>
      <c r="H161" s="636">
        <v>2.4500000000000002</v>
      </c>
      <c r="I161" s="502">
        <f t="shared" si="31"/>
        <v>64655.500000000007</v>
      </c>
      <c r="J161" s="842"/>
      <c r="K161" s="822"/>
      <c r="L161" s="844"/>
      <c r="M161" s="842"/>
      <c r="N161" s="842"/>
      <c r="O161" s="822"/>
      <c r="P161" s="822"/>
      <c r="Q161" s="822"/>
      <c r="R161" s="822"/>
      <c r="S161" s="501"/>
      <c r="T161" s="501"/>
      <c r="U161" s="501"/>
      <c r="V161" s="144"/>
    </row>
    <row r="162" spans="1:22" s="150" customFormat="1" ht="18" customHeight="1">
      <c r="A162" s="144">
        <v>159</v>
      </c>
      <c r="B162" s="623">
        <v>43010</v>
      </c>
      <c r="C162" s="243" t="s">
        <v>1081</v>
      </c>
      <c r="D162" s="243" t="s">
        <v>1087</v>
      </c>
      <c r="E162" s="243">
        <v>6273264</v>
      </c>
      <c r="F162" s="619">
        <v>2030</v>
      </c>
      <c r="G162" s="500">
        <f t="shared" si="30"/>
        <v>26390</v>
      </c>
      <c r="H162" s="636">
        <v>2.4500000000000002</v>
      </c>
      <c r="I162" s="502">
        <f t="shared" si="31"/>
        <v>64655.500000000007</v>
      </c>
      <c r="J162" s="831"/>
      <c r="K162" s="822"/>
      <c r="L162" s="845"/>
      <c r="M162" s="831"/>
      <c r="N162" s="831"/>
      <c r="O162" s="823"/>
      <c r="P162" s="823"/>
      <c r="Q162" s="823"/>
      <c r="R162" s="823"/>
      <c r="S162" s="501"/>
      <c r="T162" s="501"/>
      <c r="U162" s="501"/>
      <c r="V162" s="144"/>
    </row>
    <row r="163" spans="1:22" s="150" customFormat="1" ht="18" customHeight="1">
      <c r="A163" s="144">
        <v>160</v>
      </c>
      <c r="B163" s="623">
        <v>43010</v>
      </c>
      <c r="C163" s="243" t="s">
        <v>1081</v>
      </c>
      <c r="D163" s="243" t="s">
        <v>1089</v>
      </c>
      <c r="E163" s="245">
        <v>6273125</v>
      </c>
      <c r="F163" s="619">
        <v>2030</v>
      </c>
      <c r="G163" s="500">
        <f t="shared" si="30"/>
        <v>26390</v>
      </c>
      <c r="H163" s="636">
        <v>2.4500000000000002</v>
      </c>
      <c r="I163" s="502">
        <f t="shared" si="31"/>
        <v>64655.500000000007</v>
      </c>
      <c r="J163" s="830">
        <f>SUM(I163:I168)</f>
        <v>387933.00000000006</v>
      </c>
      <c r="K163" s="822"/>
      <c r="L163" s="843">
        <v>43073</v>
      </c>
      <c r="M163" s="830">
        <v>220</v>
      </c>
      <c r="N163" s="830">
        <f>J163-M163</f>
        <v>387713.00000000006</v>
      </c>
      <c r="O163" s="821">
        <v>22695</v>
      </c>
      <c r="P163" s="821">
        <f>N163*O163</f>
        <v>8799146535.0000019</v>
      </c>
      <c r="Q163" s="821"/>
      <c r="R163" s="821">
        <f>P163-Q163</f>
        <v>8799146535.0000019</v>
      </c>
      <c r="S163" s="253"/>
      <c r="T163" s="254"/>
      <c r="U163" s="255"/>
      <c r="V163" s="144"/>
    </row>
    <row r="164" spans="1:22" s="150" customFormat="1" ht="18" customHeight="1">
      <c r="A164" s="144">
        <v>161</v>
      </c>
      <c r="B164" s="623">
        <v>43010</v>
      </c>
      <c r="C164" s="243" t="s">
        <v>1081</v>
      </c>
      <c r="D164" s="243" t="s">
        <v>1090</v>
      </c>
      <c r="E164" s="243">
        <v>6289236</v>
      </c>
      <c r="F164" s="619">
        <v>2030</v>
      </c>
      <c r="G164" s="500">
        <f t="shared" si="30"/>
        <v>26390</v>
      </c>
      <c r="H164" s="636">
        <v>2.4500000000000002</v>
      </c>
      <c r="I164" s="502">
        <f t="shared" si="31"/>
        <v>64655.500000000007</v>
      </c>
      <c r="J164" s="842"/>
      <c r="K164" s="822"/>
      <c r="L164" s="844"/>
      <c r="M164" s="842"/>
      <c r="N164" s="842"/>
      <c r="O164" s="822"/>
      <c r="P164" s="822"/>
      <c r="Q164" s="822"/>
      <c r="R164" s="822"/>
      <c r="S164" s="253"/>
      <c r="T164" s="254"/>
      <c r="U164" s="255"/>
      <c r="V164" s="144"/>
    </row>
    <row r="165" spans="1:22" s="150" customFormat="1" ht="18.75" customHeight="1">
      <c r="A165" s="144">
        <v>162</v>
      </c>
      <c r="B165" s="623">
        <v>43010</v>
      </c>
      <c r="C165" s="243" t="s">
        <v>1081</v>
      </c>
      <c r="D165" s="243" t="s">
        <v>1091</v>
      </c>
      <c r="E165" s="243">
        <v>6273163</v>
      </c>
      <c r="F165" s="619">
        <v>2030</v>
      </c>
      <c r="G165" s="500">
        <f t="shared" si="30"/>
        <v>26390</v>
      </c>
      <c r="H165" s="636">
        <v>2.4500000000000002</v>
      </c>
      <c r="I165" s="502">
        <f t="shared" si="31"/>
        <v>64655.500000000007</v>
      </c>
      <c r="J165" s="842"/>
      <c r="K165" s="822"/>
      <c r="L165" s="844"/>
      <c r="M165" s="842"/>
      <c r="N165" s="842"/>
      <c r="O165" s="822"/>
      <c r="P165" s="822"/>
      <c r="Q165" s="822"/>
      <c r="R165" s="822"/>
      <c r="S165" s="253"/>
      <c r="T165" s="254"/>
      <c r="U165" s="255"/>
      <c r="V165" s="144"/>
    </row>
    <row r="166" spans="1:22" s="150" customFormat="1" ht="18.75" customHeight="1">
      <c r="A166" s="144">
        <v>163</v>
      </c>
      <c r="B166" s="623">
        <v>43010</v>
      </c>
      <c r="C166" s="243" t="s">
        <v>1081</v>
      </c>
      <c r="D166" s="243" t="s">
        <v>1092</v>
      </c>
      <c r="E166" s="243">
        <v>6273126</v>
      </c>
      <c r="F166" s="619">
        <v>2030</v>
      </c>
      <c r="G166" s="500">
        <f t="shared" si="30"/>
        <v>26390</v>
      </c>
      <c r="H166" s="636">
        <v>2.4500000000000002</v>
      </c>
      <c r="I166" s="502">
        <f t="shared" si="31"/>
        <v>64655.500000000007</v>
      </c>
      <c r="J166" s="842"/>
      <c r="K166" s="822"/>
      <c r="L166" s="844"/>
      <c r="M166" s="842"/>
      <c r="N166" s="842"/>
      <c r="O166" s="822"/>
      <c r="P166" s="822"/>
      <c r="Q166" s="822"/>
      <c r="R166" s="822"/>
      <c r="S166" s="253"/>
      <c r="T166" s="254"/>
      <c r="U166" s="255"/>
      <c r="V166" s="144"/>
    </row>
    <row r="167" spans="1:22" s="150" customFormat="1" ht="18.75" customHeight="1">
      <c r="A167" s="144">
        <v>164</v>
      </c>
      <c r="B167" s="623">
        <v>43010</v>
      </c>
      <c r="C167" s="243" t="s">
        <v>1081</v>
      </c>
      <c r="D167" s="243" t="s">
        <v>1093</v>
      </c>
      <c r="E167" s="245" t="s">
        <v>1095</v>
      </c>
      <c r="F167" s="619">
        <v>2030</v>
      </c>
      <c r="G167" s="452">
        <f t="shared" si="24"/>
        <v>26390</v>
      </c>
      <c r="H167" s="636">
        <v>2.4500000000000002</v>
      </c>
      <c r="I167" s="454">
        <f t="shared" si="25"/>
        <v>64655.500000000007</v>
      </c>
      <c r="J167" s="842"/>
      <c r="K167" s="822"/>
      <c r="L167" s="844"/>
      <c r="M167" s="842"/>
      <c r="N167" s="842"/>
      <c r="O167" s="822"/>
      <c r="P167" s="822"/>
      <c r="Q167" s="822"/>
      <c r="R167" s="822"/>
      <c r="S167" s="253"/>
      <c r="T167" s="254"/>
      <c r="U167" s="255"/>
      <c r="V167" s="144"/>
    </row>
    <row r="168" spans="1:22" s="150" customFormat="1" ht="18.75" customHeight="1">
      <c r="A168" s="144">
        <v>165</v>
      </c>
      <c r="B168" s="623">
        <v>43010</v>
      </c>
      <c r="C168" s="243" t="s">
        <v>1081</v>
      </c>
      <c r="D168" s="243" t="s">
        <v>1094</v>
      </c>
      <c r="E168" s="243">
        <v>6273164</v>
      </c>
      <c r="F168" s="619">
        <v>2030</v>
      </c>
      <c r="G168" s="452">
        <f t="shared" si="24"/>
        <v>26390</v>
      </c>
      <c r="H168" s="636">
        <v>2.4500000000000002</v>
      </c>
      <c r="I168" s="454">
        <f t="shared" si="25"/>
        <v>64655.500000000007</v>
      </c>
      <c r="J168" s="831"/>
      <c r="K168" s="823"/>
      <c r="L168" s="845"/>
      <c r="M168" s="831"/>
      <c r="N168" s="831"/>
      <c r="O168" s="823"/>
      <c r="P168" s="823"/>
      <c r="Q168" s="823"/>
      <c r="R168" s="823"/>
      <c r="S168" s="253"/>
      <c r="T168" s="254"/>
      <c r="U168" s="255"/>
      <c r="V168" s="144"/>
    </row>
    <row r="169" spans="1:22" s="150" customFormat="1" ht="18" customHeight="1">
      <c r="A169" s="144">
        <v>166</v>
      </c>
      <c r="B169" s="623">
        <v>43017</v>
      </c>
      <c r="C169" s="243" t="s">
        <v>1096</v>
      </c>
      <c r="D169" s="245" t="s">
        <v>1097</v>
      </c>
      <c r="E169" s="243">
        <v>6322448</v>
      </c>
      <c r="F169" s="640">
        <v>2030</v>
      </c>
      <c r="G169" s="619">
        <f t="shared" ref="G169:G204" si="32">F169*13</f>
        <v>26390</v>
      </c>
      <c r="H169" s="622">
        <v>2.2799999999999998</v>
      </c>
      <c r="I169" s="620">
        <f t="shared" ref="I169:I204" si="33">G169*H169</f>
        <v>60169.2</v>
      </c>
      <c r="J169" s="830">
        <f>SUM(I169:I174)</f>
        <v>361015.2</v>
      </c>
      <c r="K169" s="821">
        <f>53000000*22</f>
        <v>1166000000</v>
      </c>
      <c r="L169" s="843">
        <v>43077</v>
      </c>
      <c r="M169" s="830">
        <v>220</v>
      </c>
      <c r="N169" s="830">
        <f>J169+J175-M169</f>
        <v>721810.4</v>
      </c>
      <c r="O169" s="821">
        <v>22695</v>
      </c>
      <c r="P169" s="821">
        <f>N169*O169</f>
        <v>16381487028</v>
      </c>
      <c r="Q169" s="821"/>
      <c r="R169" s="821">
        <f>P169-Q169</f>
        <v>16381487028</v>
      </c>
      <c r="S169" s="621"/>
      <c r="T169" s="621"/>
      <c r="U169" s="621"/>
      <c r="V169" s="144"/>
    </row>
    <row r="170" spans="1:22" s="150" customFormat="1" ht="18" customHeight="1">
      <c r="A170" s="144">
        <v>167</v>
      </c>
      <c r="B170" s="642">
        <v>43017</v>
      </c>
      <c r="C170" s="243" t="s">
        <v>1096</v>
      </c>
      <c r="D170" s="243" t="s">
        <v>1098</v>
      </c>
      <c r="E170" s="243">
        <v>6322395</v>
      </c>
      <c r="F170" s="640">
        <v>2030</v>
      </c>
      <c r="G170" s="619">
        <f t="shared" si="32"/>
        <v>26390</v>
      </c>
      <c r="H170" s="641">
        <v>2.2799999999999998</v>
      </c>
      <c r="I170" s="620">
        <f t="shared" si="33"/>
        <v>60169.2</v>
      </c>
      <c r="J170" s="842"/>
      <c r="K170" s="822"/>
      <c r="L170" s="844"/>
      <c r="M170" s="842"/>
      <c r="N170" s="842"/>
      <c r="O170" s="822"/>
      <c r="P170" s="822"/>
      <c r="Q170" s="822"/>
      <c r="R170" s="822"/>
      <c r="S170" s="621"/>
      <c r="T170" s="621"/>
      <c r="U170" s="621"/>
      <c r="V170" s="144"/>
    </row>
    <row r="171" spans="1:22" s="150" customFormat="1" ht="18" customHeight="1">
      <c r="A171" s="144">
        <v>168</v>
      </c>
      <c r="B171" s="642">
        <v>43017</v>
      </c>
      <c r="C171" s="243" t="s">
        <v>1096</v>
      </c>
      <c r="D171" s="243" t="s">
        <v>1099</v>
      </c>
      <c r="E171" s="243">
        <v>6322414</v>
      </c>
      <c r="F171" s="640">
        <v>2030</v>
      </c>
      <c r="G171" s="619">
        <f t="shared" si="32"/>
        <v>26390</v>
      </c>
      <c r="H171" s="641">
        <v>2.2799999999999998</v>
      </c>
      <c r="I171" s="620">
        <f t="shared" si="33"/>
        <v>60169.2</v>
      </c>
      <c r="J171" s="842"/>
      <c r="K171" s="822"/>
      <c r="L171" s="844"/>
      <c r="M171" s="842"/>
      <c r="N171" s="842"/>
      <c r="O171" s="822"/>
      <c r="P171" s="822"/>
      <c r="Q171" s="822"/>
      <c r="R171" s="822"/>
      <c r="S171" s="253"/>
      <c r="T171" s="254"/>
      <c r="U171" s="255"/>
      <c r="V171" s="144"/>
    </row>
    <row r="172" spans="1:22" s="150" customFormat="1" ht="18" customHeight="1">
      <c r="A172" s="144">
        <v>169</v>
      </c>
      <c r="B172" s="642">
        <v>43017</v>
      </c>
      <c r="C172" s="243" t="s">
        <v>1096</v>
      </c>
      <c r="D172" s="243" t="s">
        <v>1100</v>
      </c>
      <c r="E172" s="243">
        <v>6322443</v>
      </c>
      <c r="F172" s="640">
        <v>2030</v>
      </c>
      <c r="G172" s="619">
        <f t="shared" si="32"/>
        <v>26390</v>
      </c>
      <c r="H172" s="641">
        <v>2.2799999999999998</v>
      </c>
      <c r="I172" s="620">
        <f t="shared" si="33"/>
        <v>60169.2</v>
      </c>
      <c r="J172" s="842"/>
      <c r="K172" s="822"/>
      <c r="L172" s="844"/>
      <c r="M172" s="842"/>
      <c r="N172" s="842"/>
      <c r="O172" s="822"/>
      <c r="P172" s="822"/>
      <c r="Q172" s="822"/>
      <c r="R172" s="822"/>
      <c r="S172" s="253"/>
      <c r="T172" s="254"/>
      <c r="U172" s="255"/>
      <c r="V172" s="144"/>
    </row>
    <row r="173" spans="1:22" s="150" customFormat="1" ht="18.75" customHeight="1">
      <c r="A173" s="144">
        <v>170</v>
      </c>
      <c r="B173" s="642">
        <v>43017</v>
      </c>
      <c r="C173" s="243" t="s">
        <v>1096</v>
      </c>
      <c r="D173" s="245" t="s">
        <v>1101</v>
      </c>
      <c r="E173" s="243">
        <v>6322403</v>
      </c>
      <c r="F173" s="640">
        <v>2030</v>
      </c>
      <c r="G173" s="619">
        <f t="shared" si="32"/>
        <v>26390</v>
      </c>
      <c r="H173" s="641">
        <v>2.2799999999999998</v>
      </c>
      <c r="I173" s="620">
        <f t="shared" si="33"/>
        <v>60169.2</v>
      </c>
      <c r="J173" s="842"/>
      <c r="K173" s="822"/>
      <c r="L173" s="844"/>
      <c r="M173" s="842"/>
      <c r="N173" s="842"/>
      <c r="O173" s="822"/>
      <c r="P173" s="822"/>
      <c r="Q173" s="822"/>
      <c r="R173" s="822"/>
      <c r="S173" s="253"/>
      <c r="T173" s="254"/>
      <c r="U173" s="255"/>
      <c r="V173" s="144"/>
    </row>
    <row r="174" spans="1:22" s="150" customFormat="1" ht="18.75" customHeight="1">
      <c r="A174" s="144">
        <v>171</v>
      </c>
      <c r="B174" s="642">
        <v>43017</v>
      </c>
      <c r="C174" s="243" t="s">
        <v>1096</v>
      </c>
      <c r="D174" s="243" t="s">
        <v>1102</v>
      </c>
      <c r="E174" s="245" t="s">
        <v>1103</v>
      </c>
      <c r="F174" s="640">
        <v>2030</v>
      </c>
      <c r="G174" s="619">
        <f t="shared" si="32"/>
        <v>26390</v>
      </c>
      <c r="H174" s="641">
        <v>2.2799999999999998</v>
      </c>
      <c r="I174" s="620">
        <f t="shared" si="33"/>
        <v>60169.2</v>
      </c>
      <c r="J174" s="831"/>
      <c r="K174" s="822"/>
      <c r="L174" s="844"/>
      <c r="M174" s="842"/>
      <c r="N174" s="842"/>
      <c r="O174" s="822"/>
      <c r="P174" s="822"/>
      <c r="Q174" s="822"/>
      <c r="R174" s="822"/>
      <c r="S174" s="253"/>
      <c r="T174" s="254"/>
      <c r="U174" s="255"/>
      <c r="V174" s="144"/>
    </row>
    <row r="175" spans="1:22" s="150" customFormat="1" ht="18" customHeight="1">
      <c r="A175" s="144">
        <v>172</v>
      </c>
      <c r="B175" s="642">
        <v>43017</v>
      </c>
      <c r="C175" s="243" t="s">
        <v>1096</v>
      </c>
      <c r="D175" s="243" t="s">
        <v>1104</v>
      </c>
      <c r="E175" s="243">
        <v>6322399</v>
      </c>
      <c r="F175" s="640">
        <v>2030</v>
      </c>
      <c r="G175" s="619">
        <f t="shared" si="32"/>
        <v>26390</v>
      </c>
      <c r="H175" s="641">
        <v>2.2799999999999998</v>
      </c>
      <c r="I175" s="620">
        <f t="shared" si="33"/>
        <v>60169.2</v>
      </c>
      <c r="J175" s="830">
        <f>SUM(I175:I180)</f>
        <v>361015.2</v>
      </c>
      <c r="K175" s="822"/>
      <c r="L175" s="844"/>
      <c r="M175" s="842"/>
      <c r="N175" s="842"/>
      <c r="O175" s="822"/>
      <c r="P175" s="822"/>
      <c r="Q175" s="822"/>
      <c r="R175" s="822"/>
      <c r="S175" s="621"/>
      <c r="T175" s="621"/>
      <c r="U175" s="621"/>
      <c r="V175" s="144"/>
    </row>
    <row r="176" spans="1:22" s="150" customFormat="1" ht="18" customHeight="1">
      <c r="A176" s="144">
        <v>173</v>
      </c>
      <c r="B176" s="642">
        <v>43017</v>
      </c>
      <c r="C176" s="243" t="s">
        <v>1096</v>
      </c>
      <c r="D176" s="243" t="s">
        <v>1105</v>
      </c>
      <c r="E176" s="243">
        <v>6322396</v>
      </c>
      <c r="F176" s="640">
        <v>2030</v>
      </c>
      <c r="G176" s="619">
        <f t="shared" si="32"/>
        <v>26390</v>
      </c>
      <c r="H176" s="641">
        <v>2.2799999999999998</v>
      </c>
      <c r="I176" s="620">
        <f t="shared" si="33"/>
        <v>60169.2</v>
      </c>
      <c r="J176" s="842"/>
      <c r="K176" s="822"/>
      <c r="L176" s="844"/>
      <c r="M176" s="842"/>
      <c r="N176" s="842"/>
      <c r="O176" s="822"/>
      <c r="P176" s="822"/>
      <c r="Q176" s="822"/>
      <c r="R176" s="822"/>
      <c r="S176" s="621"/>
      <c r="T176" s="621"/>
      <c r="U176" s="621"/>
      <c r="V176" s="144"/>
    </row>
    <row r="177" spans="1:22" s="150" customFormat="1" ht="18" customHeight="1">
      <c r="A177" s="144">
        <v>174</v>
      </c>
      <c r="B177" s="642">
        <v>43017</v>
      </c>
      <c r="C177" s="243" t="s">
        <v>1096</v>
      </c>
      <c r="D177" s="245" t="s">
        <v>1106</v>
      </c>
      <c r="E177" s="243">
        <v>6322391</v>
      </c>
      <c r="F177" s="640">
        <v>2030</v>
      </c>
      <c r="G177" s="619">
        <f t="shared" si="32"/>
        <v>26390</v>
      </c>
      <c r="H177" s="641">
        <v>2.2799999999999998</v>
      </c>
      <c r="I177" s="620">
        <f t="shared" si="33"/>
        <v>60169.2</v>
      </c>
      <c r="J177" s="842"/>
      <c r="K177" s="822"/>
      <c r="L177" s="844"/>
      <c r="M177" s="842"/>
      <c r="N177" s="842"/>
      <c r="O177" s="822"/>
      <c r="P177" s="822"/>
      <c r="Q177" s="822"/>
      <c r="R177" s="822"/>
      <c r="S177" s="253"/>
      <c r="T177" s="254"/>
      <c r="U177" s="255"/>
      <c r="V177" s="144"/>
    </row>
    <row r="178" spans="1:22" s="150" customFormat="1" ht="18" customHeight="1">
      <c r="A178" s="144">
        <v>175</v>
      </c>
      <c r="B178" s="642">
        <v>43017</v>
      </c>
      <c r="C178" s="243" t="s">
        <v>1096</v>
      </c>
      <c r="D178" s="243" t="s">
        <v>1107</v>
      </c>
      <c r="E178" s="243">
        <v>6322397</v>
      </c>
      <c r="F178" s="640">
        <v>2030</v>
      </c>
      <c r="G178" s="619">
        <f t="shared" si="32"/>
        <v>26390</v>
      </c>
      <c r="H178" s="641">
        <v>2.2799999999999998</v>
      </c>
      <c r="I178" s="620">
        <f t="shared" si="33"/>
        <v>60169.2</v>
      </c>
      <c r="J178" s="842"/>
      <c r="K178" s="822"/>
      <c r="L178" s="844"/>
      <c r="M178" s="842"/>
      <c r="N178" s="842"/>
      <c r="O178" s="822"/>
      <c r="P178" s="822"/>
      <c r="Q178" s="822"/>
      <c r="R178" s="822"/>
      <c r="S178" s="253"/>
      <c r="T178" s="254"/>
      <c r="U178" s="255"/>
      <c r="V178" s="144"/>
    </row>
    <row r="179" spans="1:22" s="150" customFormat="1" ht="18.75" customHeight="1">
      <c r="A179" s="144">
        <v>176</v>
      </c>
      <c r="B179" s="642">
        <v>43017</v>
      </c>
      <c r="C179" s="243" t="s">
        <v>1096</v>
      </c>
      <c r="D179" s="243" t="s">
        <v>1108</v>
      </c>
      <c r="E179" s="245">
        <v>6322409</v>
      </c>
      <c r="F179" s="640">
        <v>2030</v>
      </c>
      <c r="G179" s="619">
        <f t="shared" si="32"/>
        <v>26390</v>
      </c>
      <c r="H179" s="641">
        <v>2.2799999999999998</v>
      </c>
      <c r="I179" s="620">
        <f t="shared" si="33"/>
        <v>60169.2</v>
      </c>
      <c r="J179" s="842"/>
      <c r="K179" s="822"/>
      <c r="L179" s="844"/>
      <c r="M179" s="842"/>
      <c r="N179" s="842"/>
      <c r="O179" s="822"/>
      <c r="P179" s="822"/>
      <c r="Q179" s="822"/>
      <c r="R179" s="822"/>
      <c r="S179" s="253"/>
      <c r="T179" s="254"/>
      <c r="U179" s="255"/>
      <c r="V179" s="144"/>
    </row>
    <row r="180" spans="1:22" s="150" customFormat="1" ht="18.75" customHeight="1">
      <c r="A180" s="144">
        <v>177</v>
      </c>
      <c r="B180" s="642">
        <v>43017</v>
      </c>
      <c r="C180" s="243" t="s">
        <v>1096</v>
      </c>
      <c r="D180" s="243" t="s">
        <v>1109</v>
      </c>
      <c r="E180" s="245" t="s">
        <v>1110</v>
      </c>
      <c r="F180" s="640">
        <v>2030</v>
      </c>
      <c r="G180" s="619">
        <f t="shared" si="32"/>
        <v>26390</v>
      </c>
      <c r="H180" s="641">
        <v>2.2799999999999998</v>
      </c>
      <c r="I180" s="620">
        <f t="shared" si="33"/>
        <v>60169.2</v>
      </c>
      <c r="J180" s="831"/>
      <c r="K180" s="822"/>
      <c r="L180" s="845"/>
      <c r="M180" s="831"/>
      <c r="N180" s="831"/>
      <c r="O180" s="823"/>
      <c r="P180" s="823"/>
      <c r="Q180" s="823"/>
      <c r="R180" s="823"/>
      <c r="S180" s="253"/>
      <c r="T180" s="254"/>
      <c r="U180" s="255"/>
      <c r="V180" s="144"/>
    </row>
    <row r="181" spans="1:22" s="150" customFormat="1" ht="18" customHeight="1">
      <c r="A181" s="144">
        <v>178</v>
      </c>
      <c r="B181" s="648">
        <v>43027</v>
      </c>
      <c r="C181" s="243"/>
      <c r="D181" s="243"/>
      <c r="E181" s="243"/>
      <c r="F181" s="652">
        <v>2030</v>
      </c>
      <c r="G181" s="644">
        <f t="shared" ref="G181:G194" si="34">F181*13</f>
        <v>26390</v>
      </c>
      <c r="H181" s="654">
        <v>2.2799999999999998</v>
      </c>
      <c r="I181" s="645">
        <f t="shared" ref="I181:I194" si="35">G181*H181</f>
        <v>60169.2</v>
      </c>
      <c r="J181" s="830">
        <f>SUM(I181:I184)</f>
        <v>240338.4</v>
      </c>
      <c r="K181" s="822"/>
      <c r="L181" s="843">
        <v>43073</v>
      </c>
      <c r="M181" s="830"/>
      <c r="N181" s="830">
        <f>J181-M181</f>
        <v>240338.4</v>
      </c>
      <c r="O181" s="821">
        <v>22695</v>
      </c>
      <c r="P181" s="821">
        <f>N181*O181</f>
        <v>5454479988</v>
      </c>
      <c r="Q181" s="821"/>
      <c r="R181" s="821">
        <f>P181-Q181</f>
        <v>5454479988</v>
      </c>
      <c r="S181" s="646"/>
      <c r="T181" s="646"/>
      <c r="U181" s="646"/>
      <c r="V181" s="144"/>
    </row>
    <row r="182" spans="1:22" s="150" customFormat="1" ht="18" customHeight="1">
      <c r="A182" s="144">
        <v>179</v>
      </c>
      <c r="B182" s="655">
        <v>43027</v>
      </c>
      <c r="C182" s="243"/>
      <c r="D182" s="243"/>
      <c r="E182" s="243"/>
      <c r="F182" s="652">
        <v>2030</v>
      </c>
      <c r="G182" s="644">
        <f t="shared" si="34"/>
        <v>26390</v>
      </c>
      <c r="H182" s="654">
        <v>2.2799999999999998</v>
      </c>
      <c r="I182" s="645">
        <f t="shared" si="35"/>
        <v>60169.2</v>
      </c>
      <c r="J182" s="842"/>
      <c r="K182" s="822"/>
      <c r="L182" s="844"/>
      <c r="M182" s="842"/>
      <c r="N182" s="842"/>
      <c r="O182" s="822"/>
      <c r="P182" s="822"/>
      <c r="Q182" s="822"/>
      <c r="R182" s="822"/>
      <c r="S182" s="646"/>
      <c r="T182" s="646"/>
      <c r="U182" s="646"/>
      <c r="V182" s="144"/>
    </row>
    <row r="183" spans="1:22" s="150" customFormat="1" ht="18" customHeight="1">
      <c r="A183" s="144">
        <v>180</v>
      </c>
      <c r="B183" s="655">
        <v>43027</v>
      </c>
      <c r="C183" s="243"/>
      <c r="D183" s="243"/>
      <c r="E183" s="243"/>
      <c r="F183" s="646">
        <v>2000</v>
      </c>
      <c r="G183" s="644">
        <f>F183*12</f>
        <v>24000</v>
      </c>
      <c r="H183" s="647">
        <v>2.5</v>
      </c>
      <c r="I183" s="645">
        <f t="shared" si="35"/>
        <v>60000</v>
      </c>
      <c r="J183" s="842"/>
      <c r="K183" s="822"/>
      <c r="L183" s="844"/>
      <c r="M183" s="842"/>
      <c r="N183" s="842"/>
      <c r="O183" s="822"/>
      <c r="P183" s="822"/>
      <c r="Q183" s="822"/>
      <c r="R183" s="822"/>
      <c r="S183" s="253"/>
      <c r="T183" s="254"/>
      <c r="U183" s="255"/>
      <c r="V183" s="144"/>
    </row>
    <row r="184" spans="1:22" s="150" customFormat="1" ht="18" customHeight="1">
      <c r="A184" s="144">
        <v>181</v>
      </c>
      <c r="B184" s="655">
        <v>43027</v>
      </c>
      <c r="C184" s="243"/>
      <c r="D184" s="243"/>
      <c r="E184" s="243"/>
      <c r="F184" s="653">
        <v>2000</v>
      </c>
      <c r="G184" s="652">
        <f>F184*12</f>
        <v>24000</v>
      </c>
      <c r="H184" s="654">
        <v>2.5</v>
      </c>
      <c r="I184" s="645">
        <f t="shared" si="35"/>
        <v>60000</v>
      </c>
      <c r="J184" s="831"/>
      <c r="K184" s="822"/>
      <c r="L184" s="845"/>
      <c r="M184" s="831"/>
      <c r="N184" s="831"/>
      <c r="O184" s="823"/>
      <c r="P184" s="823"/>
      <c r="Q184" s="823"/>
      <c r="R184" s="823"/>
      <c r="S184" s="253"/>
      <c r="T184" s="254"/>
      <c r="U184" s="255"/>
      <c r="V184" s="144"/>
    </row>
    <row r="185" spans="1:22" s="150" customFormat="1" ht="18.75" customHeight="1">
      <c r="A185" s="144">
        <v>182</v>
      </c>
      <c r="B185" s="648">
        <v>43032</v>
      </c>
      <c r="C185" s="243"/>
      <c r="D185" s="243"/>
      <c r="E185" s="243"/>
      <c r="F185" s="656">
        <v>2030</v>
      </c>
      <c r="G185" s="644">
        <f t="shared" si="34"/>
        <v>26390</v>
      </c>
      <c r="H185" s="647">
        <v>2.3199999999999998</v>
      </c>
      <c r="I185" s="645">
        <f t="shared" si="35"/>
        <v>61224.799999999996</v>
      </c>
      <c r="J185" s="830">
        <f>SUM(I185:I190)</f>
        <v>367348.8</v>
      </c>
      <c r="K185" s="822"/>
      <c r="L185" s="843">
        <v>43085</v>
      </c>
      <c r="M185" s="830">
        <v>220</v>
      </c>
      <c r="N185" s="830">
        <f>J185+J191-M185</f>
        <v>464771.8</v>
      </c>
      <c r="O185" s="821">
        <v>22965</v>
      </c>
      <c r="P185" s="821">
        <f>N185*O185</f>
        <v>10673484387</v>
      </c>
      <c r="Q185" s="821"/>
      <c r="R185" s="821">
        <f>P185-Q185</f>
        <v>10673484387</v>
      </c>
      <c r="S185" s="253"/>
      <c r="T185" s="254"/>
      <c r="U185" s="255"/>
      <c r="V185" s="144"/>
    </row>
    <row r="186" spans="1:22" s="150" customFormat="1" ht="18.75" customHeight="1">
      <c r="A186" s="144">
        <v>183</v>
      </c>
      <c r="B186" s="658">
        <v>43032</v>
      </c>
      <c r="C186" s="243"/>
      <c r="D186" s="243"/>
      <c r="E186" s="243"/>
      <c r="F186" s="656">
        <v>2030</v>
      </c>
      <c r="G186" s="644">
        <f t="shared" si="34"/>
        <v>26390</v>
      </c>
      <c r="H186" s="657">
        <v>2.3199999999999998</v>
      </c>
      <c r="I186" s="645">
        <f t="shared" si="35"/>
        <v>61224.799999999996</v>
      </c>
      <c r="J186" s="842"/>
      <c r="K186" s="822"/>
      <c r="L186" s="844"/>
      <c r="M186" s="842"/>
      <c r="N186" s="842"/>
      <c r="O186" s="822"/>
      <c r="P186" s="822"/>
      <c r="Q186" s="822"/>
      <c r="R186" s="822"/>
      <c r="S186" s="253"/>
      <c r="T186" s="254"/>
      <c r="U186" s="255"/>
      <c r="V186" s="144"/>
    </row>
    <row r="187" spans="1:22" s="150" customFormat="1" ht="18" customHeight="1">
      <c r="A187" s="144">
        <v>184</v>
      </c>
      <c r="B187" s="658">
        <v>43032</v>
      </c>
      <c r="C187" s="243"/>
      <c r="D187" s="243"/>
      <c r="E187" s="243"/>
      <c r="F187" s="656">
        <v>2030</v>
      </c>
      <c r="G187" s="644">
        <f t="shared" si="34"/>
        <v>26390</v>
      </c>
      <c r="H187" s="657">
        <v>2.3199999999999998</v>
      </c>
      <c r="I187" s="645">
        <f t="shared" si="35"/>
        <v>61224.799999999996</v>
      </c>
      <c r="J187" s="842"/>
      <c r="K187" s="822"/>
      <c r="L187" s="844"/>
      <c r="M187" s="842"/>
      <c r="N187" s="842"/>
      <c r="O187" s="822"/>
      <c r="P187" s="822"/>
      <c r="Q187" s="822"/>
      <c r="R187" s="822"/>
      <c r="S187" s="646"/>
      <c r="T187" s="646"/>
      <c r="U187" s="646"/>
      <c r="V187" s="144"/>
    </row>
    <row r="188" spans="1:22" s="150" customFormat="1" ht="18" customHeight="1">
      <c r="A188" s="144">
        <v>185</v>
      </c>
      <c r="B188" s="658">
        <v>43032</v>
      </c>
      <c r="C188" s="243"/>
      <c r="D188" s="243"/>
      <c r="E188" s="243"/>
      <c r="F188" s="656">
        <v>2030</v>
      </c>
      <c r="G188" s="644">
        <f t="shared" si="34"/>
        <v>26390</v>
      </c>
      <c r="H188" s="657">
        <v>2.3199999999999998</v>
      </c>
      <c r="I188" s="645">
        <f t="shared" si="35"/>
        <v>61224.799999999996</v>
      </c>
      <c r="J188" s="842"/>
      <c r="K188" s="822"/>
      <c r="L188" s="844"/>
      <c r="M188" s="842"/>
      <c r="N188" s="842"/>
      <c r="O188" s="822"/>
      <c r="P188" s="822"/>
      <c r="Q188" s="822"/>
      <c r="R188" s="822"/>
      <c r="S188" s="646"/>
      <c r="T188" s="646"/>
      <c r="U188" s="646"/>
      <c r="V188" s="144"/>
    </row>
    <row r="189" spans="1:22" s="150" customFormat="1" ht="18" customHeight="1">
      <c r="A189" s="144">
        <v>186</v>
      </c>
      <c r="B189" s="658">
        <v>43032</v>
      </c>
      <c r="C189" s="243"/>
      <c r="D189" s="243"/>
      <c r="E189" s="243"/>
      <c r="F189" s="656">
        <v>2030</v>
      </c>
      <c r="G189" s="644">
        <f t="shared" si="34"/>
        <v>26390</v>
      </c>
      <c r="H189" s="657">
        <v>2.3199999999999998</v>
      </c>
      <c r="I189" s="645">
        <f t="shared" si="35"/>
        <v>61224.799999999996</v>
      </c>
      <c r="J189" s="842"/>
      <c r="K189" s="822"/>
      <c r="L189" s="844"/>
      <c r="M189" s="842"/>
      <c r="N189" s="842"/>
      <c r="O189" s="822"/>
      <c r="P189" s="822"/>
      <c r="Q189" s="822"/>
      <c r="R189" s="822"/>
      <c r="S189" s="253"/>
      <c r="T189" s="254"/>
      <c r="U189" s="255"/>
      <c r="V189" s="144"/>
    </row>
    <row r="190" spans="1:22" s="150" customFormat="1" ht="18" customHeight="1">
      <c r="A190" s="144">
        <v>187</v>
      </c>
      <c r="B190" s="658">
        <v>43032</v>
      </c>
      <c r="C190" s="243"/>
      <c r="D190" s="243"/>
      <c r="E190" s="243"/>
      <c r="F190" s="656">
        <v>2030</v>
      </c>
      <c r="G190" s="644">
        <f t="shared" si="34"/>
        <v>26390</v>
      </c>
      <c r="H190" s="657">
        <v>2.3199999999999998</v>
      </c>
      <c r="I190" s="645">
        <f t="shared" si="35"/>
        <v>61224.799999999996</v>
      </c>
      <c r="J190" s="831"/>
      <c r="K190" s="823"/>
      <c r="L190" s="844"/>
      <c r="M190" s="842"/>
      <c r="N190" s="842"/>
      <c r="O190" s="822"/>
      <c r="P190" s="822"/>
      <c r="Q190" s="822"/>
      <c r="R190" s="822"/>
      <c r="S190" s="253"/>
      <c r="T190" s="254"/>
      <c r="U190" s="255"/>
      <c r="V190" s="144"/>
    </row>
    <row r="191" spans="1:22" s="150" customFormat="1" ht="18.75" customHeight="1">
      <c r="A191" s="144">
        <v>194</v>
      </c>
      <c r="B191" s="648">
        <v>43059</v>
      </c>
      <c r="C191" s="243"/>
      <c r="D191" s="243"/>
      <c r="E191" s="243"/>
      <c r="F191" s="675">
        <v>2030</v>
      </c>
      <c r="G191" s="644">
        <f>F191*13</f>
        <v>26390</v>
      </c>
      <c r="H191" s="647">
        <v>1.85</v>
      </c>
      <c r="I191" s="645">
        <f>G191*H191</f>
        <v>48821.5</v>
      </c>
      <c r="J191" s="830">
        <f>SUM(I191:I192)</f>
        <v>97643</v>
      </c>
      <c r="K191" s="821">
        <f>53000000*6</f>
        <v>318000000</v>
      </c>
      <c r="L191" s="844"/>
      <c r="M191" s="842"/>
      <c r="N191" s="842"/>
      <c r="O191" s="822"/>
      <c r="P191" s="822"/>
      <c r="Q191" s="822"/>
      <c r="R191" s="822"/>
      <c r="S191" s="253"/>
      <c r="T191" s="254"/>
      <c r="U191" s="255"/>
      <c r="V191" s="144"/>
    </row>
    <row r="192" spans="1:22" s="150" customFormat="1" ht="18.75" customHeight="1">
      <c r="A192" s="144">
        <v>195</v>
      </c>
      <c r="B192" s="677">
        <v>43059</v>
      </c>
      <c r="C192" s="243"/>
      <c r="D192" s="243"/>
      <c r="E192" s="243"/>
      <c r="F192" s="675">
        <v>2030</v>
      </c>
      <c r="G192" s="644">
        <f>F192*13</f>
        <v>26390</v>
      </c>
      <c r="H192" s="676">
        <v>1.85</v>
      </c>
      <c r="I192" s="645">
        <f>G192*H192</f>
        <v>48821.5</v>
      </c>
      <c r="J192" s="831"/>
      <c r="K192" s="822"/>
      <c r="L192" s="845"/>
      <c r="M192" s="831"/>
      <c r="N192" s="831"/>
      <c r="O192" s="823"/>
      <c r="P192" s="823"/>
      <c r="Q192" s="823"/>
      <c r="R192" s="823"/>
      <c r="S192" s="253"/>
      <c r="T192" s="254"/>
      <c r="U192" s="255"/>
      <c r="V192" s="144"/>
    </row>
    <row r="193" spans="1:22" s="150" customFormat="1" ht="18.75" customHeight="1">
      <c r="A193" s="144">
        <v>188</v>
      </c>
      <c r="B193" s="695">
        <v>43042</v>
      </c>
      <c r="C193" s="243"/>
      <c r="D193" s="243"/>
      <c r="E193" s="243"/>
      <c r="F193" s="691">
        <v>2030</v>
      </c>
      <c r="G193" s="691">
        <f t="shared" si="34"/>
        <v>26390</v>
      </c>
      <c r="H193" s="694">
        <v>2.3199999999999998</v>
      </c>
      <c r="I193" s="693">
        <f t="shared" si="35"/>
        <v>61224.799999999996</v>
      </c>
      <c r="J193" s="830">
        <f>SUM(I193:I196)</f>
        <v>244899.19999999998</v>
      </c>
      <c r="K193" s="822"/>
      <c r="L193" s="843">
        <v>43089</v>
      </c>
      <c r="M193" s="830">
        <v>220</v>
      </c>
      <c r="N193" s="830">
        <f>J193-M193</f>
        <v>244679.19999999998</v>
      </c>
      <c r="O193" s="821"/>
      <c r="P193" s="821">
        <f>N193*O193</f>
        <v>0</v>
      </c>
      <c r="Q193" s="821"/>
      <c r="R193" s="821">
        <f>P193-Q193</f>
        <v>0</v>
      </c>
      <c r="S193" s="253"/>
      <c r="T193" s="254"/>
      <c r="U193" s="255"/>
      <c r="V193" s="144"/>
    </row>
    <row r="194" spans="1:22" s="150" customFormat="1" ht="18.75" customHeight="1">
      <c r="A194" s="144">
        <v>189</v>
      </c>
      <c r="B194" s="695">
        <v>43042</v>
      </c>
      <c r="C194" s="243"/>
      <c r="D194" s="243"/>
      <c r="E194" s="243"/>
      <c r="F194" s="691">
        <v>2030</v>
      </c>
      <c r="G194" s="691">
        <f t="shared" si="34"/>
        <v>26390</v>
      </c>
      <c r="H194" s="694">
        <v>2.3199999999999998</v>
      </c>
      <c r="I194" s="693">
        <f t="shared" si="35"/>
        <v>61224.799999999996</v>
      </c>
      <c r="J194" s="842"/>
      <c r="K194" s="822"/>
      <c r="L194" s="844"/>
      <c r="M194" s="842"/>
      <c r="N194" s="842"/>
      <c r="O194" s="822"/>
      <c r="P194" s="822"/>
      <c r="Q194" s="822"/>
      <c r="R194" s="822"/>
      <c r="S194" s="253"/>
      <c r="T194" s="254"/>
      <c r="U194" s="255"/>
      <c r="V194" s="144"/>
    </row>
    <row r="195" spans="1:22" s="150" customFormat="1" ht="18" customHeight="1">
      <c r="A195" s="144">
        <v>190</v>
      </c>
      <c r="B195" s="695">
        <v>43042</v>
      </c>
      <c r="C195" s="243"/>
      <c r="D195" s="243"/>
      <c r="E195" s="243"/>
      <c r="F195" s="691">
        <v>2030</v>
      </c>
      <c r="G195" s="691">
        <f t="shared" si="32"/>
        <v>26390</v>
      </c>
      <c r="H195" s="694">
        <v>2.3199999999999998</v>
      </c>
      <c r="I195" s="693">
        <f t="shared" si="33"/>
        <v>61224.799999999996</v>
      </c>
      <c r="J195" s="842"/>
      <c r="K195" s="822"/>
      <c r="L195" s="844"/>
      <c r="M195" s="842"/>
      <c r="N195" s="842"/>
      <c r="O195" s="822"/>
      <c r="P195" s="822"/>
      <c r="Q195" s="822"/>
      <c r="R195" s="822"/>
      <c r="S195" s="692"/>
      <c r="T195" s="692"/>
      <c r="U195" s="692"/>
      <c r="V195" s="144"/>
    </row>
    <row r="196" spans="1:22" s="150" customFormat="1" ht="18" customHeight="1">
      <c r="A196" s="144">
        <v>191</v>
      </c>
      <c r="B196" s="695">
        <v>43042</v>
      </c>
      <c r="C196" s="243"/>
      <c r="D196" s="243"/>
      <c r="E196" s="243"/>
      <c r="F196" s="691">
        <v>2030</v>
      </c>
      <c r="G196" s="691">
        <f t="shared" si="32"/>
        <v>26390</v>
      </c>
      <c r="H196" s="694">
        <v>2.3199999999999998</v>
      </c>
      <c r="I196" s="693">
        <f t="shared" si="33"/>
        <v>61224.799999999996</v>
      </c>
      <c r="J196" s="831"/>
      <c r="K196" s="823"/>
      <c r="L196" s="845"/>
      <c r="M196" s="831"/>
      <c r="N196" s="831"/>
      <c r="O196" s="823"/>
      <c r="P196" s="823"/>
      <c r="Q196" s="823"/>
      <c r="R196" s="823"/>
      <c r="S196" s="692"/>
      <c r="T196" s="692"/>
      <c r="U196" s="692"/>
      <c r="V196" s="144"/>
    </row>
    <row r="197" spans="1:22" s="487" customFormat="1" ht="18" customHeight="1">
      <c r="A197" s="604">
        <v>192</v>
      </c>
      <c r="B197" s="481">
        <v>43042</v>
      </c>
      <c r="C197" s="482"/>
      <c r="D197" s="482"/>
      <c r="E197" s="482"/>
      <c r="F197" s="679">
        <v>2030</v>
      </c>
      <c r="G197" s="679">
        <f t="shared" si="32"/>
        <v>26390</v>
      </c>
      <c r="H197" s="485">
        <v>2.3199999999999998</v>
      </c>
      <c r="I197" s="696">
        <f t="shared" si="33"/>
        <v>61224.799999999996</v>
      </c>
      <c r="J197" s="824">
        <f>SUM(I197:I198)</f>
        <v>122449.59999999999</v>
      </c>
      <c r="K197" s="827">
        <f>53000000*6</f>
        <v>318000000</v>
      </c>
      <c r="L197" s="838">
        <v>43089</v>
      </c>
      <c r="M197" s="824">
        <f>J197-N197</f>
        <v>67.339999999996508</v>
      </c>
      <c r="N197" s="824">
        <v>122382.26</v>
      </c>
      <c r="O197" s="827"/>
      <c r="P197" s="827">
        <f>N197*O197</f>
        <v>0</v>
      </c>
      <c r="Q197" s="827"/>
      <c r="R197" s="827">
        <f>P197-Q197</f>
        <v>0</v>
      </c>
      <c r="S197" s="659"/>
      <c r="T197" s="660"/>
      <c r="U197" s="661"/>
      <c r="V197" s="604" t="s">
        <v>1132</v>
      </c>
    </row>
    <row r="198" spans="1:22" s="487" customFormat="1" ht="18" customHeight="1">
      <c r="A198" s="604">
        <v>193</v>
      </c>
      <c r="B198" s="481">
        <v>43042</v>
      </c>
      <c r="C198" s="482"/>
      <c r="D198" s="482"/>
      <c r="E198" s="482"/>
      <c r="F198" s="679">
        <v>2030</v>
      </c>
      <c r="G198" s="679">
        <f t="shared" si="32"/>
        <v>26390</v>
      </c>
      <c r="H198" s="485">
        <v>2.3199999999999998</v>
      </c>
      <c r="I198" s="696">
        <f t="shared" si="33"/>
        <v>61224.799999999996</v>
      </c>
      <c r="J198" s="826"/>
      <c r="K198" s="828"/>
      <c r="L198" s="840"/>
      <c r="M198" s="826"/>
      <c r="N198" s="826"/>
      <c r="O198" s="829"/>
      <c r="P198" s="829"/>
      <c r="Q198" s="829"/>
      <c r="R198" s="829"/>
      <c r="S198" s="659"/>
      <c r="T198" s="660"/>
      <c r="U198" s="661"/>
      <c r="V198" s="604" t="s">
        <v>1132</v>
      </c>
    </row>
    <row r="199" spans="1:22" s="487" customFormat="1" ht="18" customHeight="1">
      <c r="A199" s="604">
        <v>196</v>
      </c>
      <c r="B199" s="481">
        <v>43066</v>
      </c>
      <c r="C199" s="482"/>
      <c r="D199" s="482"/>
      <c r="E199" s="482"/>
      <c r="F199" s="679">
        <v>2030</v>
      </c>
      <c r="G199" s="679">
        <f t="shared" si="32"/>
        <v>26390</v>
      </c>
      <c r="H199" s="485">
        <v>2.4500000000000002</v>
      </c>
      <c r="I199" s="696">
        <f t="shared" si="33"/>
        <v>64655.500000000007</v>
      </c>
      <c r="J199" s="824">
        <f>SUM(I199:I202)</f>
        <v>258622.00000000003</v>
      </c>
      <c r="K199" s="828"/>
      <c r="L199" s="838">
        <v>43096</v>
      </c>
      <c r="M199" s="824">
        <v>110</v>
      </c>
      <c r="N199" s="824">
        <f>J199-M199</f>
        <v>258512.00000000003</v>
      </c>
      <c r="O199" s="827"/>
      <c r="P199" s="827">
        <f>N199*O199</f>
        <v>0</v>
      </c>
      <c r="Q199" s="827"/>
      <c r="R199" s="827">
        <f>P199-Q199</f>
        <v>0</v>
      </c>
      <c r="S199" s="608"/>
      <c r="T199" s="608"/>
      <c r="U199" s="608"/>
      <c r="V199" s="604" t="s">
        <v>1132</v>
      </c>
    </row>
    <row r="200" spans="1:22" s="487" customFormat="1" ht="18" customHeight="1">
      <c r="A200" s="604">
        <v>197</v>
      </c>
      <c r="B200" s="481">
        <v>43066</v>
      </c>
      <c r="C200" s="482"/>
      <c r="D200" s="482"/>
      <c r="E200" s="482"/>
      <c r="F200" s="679">
        <v>2030</v>
      </c>
      <c r="G200" s="679">
        <f t="shared" si="32"/>
        <v>26390</v>
      </c>
      <c r="H200" s="485">
        <v>2.4500000000000002</v>
      </c>
      <c r="I200" s="696">
        <f t="shared" si="33"/>
        <v>64655.500000000007</v>
      </c>
      <c r="J200" s="825"/>
      <c r="K200" s="828"/>
      <c r="L200" s="839"/>
      <c r="M200" s="825"/>
      <c r="N200" s="825"/>
      <c r="O200" s="828"/>
      <c r="P200" s="828"/>
      <c r="Q200" s="828"/>
      <c r="R200" s="828"/>
      <c r="S200" s="608"/>
      <c r="T200" s="608"/>
      <c r="U200" s="608"/>
      <c r="V200" s="604" t="s">
        <v>1132</v>
      </c>
    </row>
    <row r="201" spans="1:22" s="487" customFormat="1" ht="18" customHeight="1">
      <c r="A201" s="604">
        <v>198</v>
      </c>
      <c r="B201" s="481">
        <v>43066</v>
      </c>
      <c r="C201" s="482"/>
      <c r="D201" s="482"/>
      <c r="E201" s="482"/>
      <c r="F201" s="679">
        <v>2030</v>
      </c>
      <c r="G201" s="679">
        <f t="shared" si="32"/>
        <v>26390</v>
      </c>
      <c r="H201" s="485">
        <v>2.4500000000000002</v>
      </c>
      <c r="I201" s="696">
        <f t="shared" si="33"/>
        <v>64655.500000000007</v>
      </c>
      <c r="J201" s="825"/>
      <c r="K201" s="828"/>
      <c r="L201" s="839"/>
      <c r="M201" s="825"/>
      <c r="N201" s="825"/>
      <c r="O201" s="828"/>
      <c r="P201" s="828"/>
      <c r="Q201" s="828"/>
      <c r="R201" s="828"/>
      <c r="S201" s="659"/>
      <c r="T201" s="660"/>
      <c r="U201" s="661"/>
      <c r="V201" s="604" t="s">
        <v>1132</v>
      </c>
    </row>
    <row r="202" spans="1:22" s="487" customFormat="1" ht="18" customHeight="1">
      <c r="A202" s="604">
        <v>199</v>
      </c>
      <c r="B202" s="481">
        <v>43066</v>
      </c>
      <c r="C202" s="482"/>
      <c r="D202" s="482"/>
      <c r="E202" s="482"/>
      <c r="F202" s="679">
        <v>2030</v>
      </c>
      <c r="G202" s="679">
        <f t="shared" si="32"/>
        <v>26390</v>
      </c>
      <c r="H202" s="485">
        <v>2.4500000000000002</v>
      </c>
      <c r="I202" s="696">
        <f t="shared" si="33"/>
        <v>64655.500000000007</v>
      </c>
      <c r="J202" s="826"/>
      <c r="K202" s="829"/>
      <c r="L202" s="840"/>
      <c r="M202" s="826"/>
      <c r="N202" s="826"/>
      <c r="O202" s="829"/>
      <c r="P202" s="829"/>
      <c r="Q202" s="829"/>
      <c r="R202" s="829"/>
      <c r="S202" s="659"/>
      <c r="T202" s="660"/>
      <c r="U202" s="661"/>
      <c r="V202" s="604" t="s">
        <v>1132</v>
      </c>
    </row>
    <row r="203" spans="1:22" s="487" customFormat="1" ht="18.75" customHeight="1">
      <c r="A203" s="604">
        <v>200</v>
      </c>
      <c r="B203" s="481">
        <v>43074</v>
      </c>
      <c r="C203" s="482"/>
      <c r="D203" s="482"/>
      <c r="E203" s="482"/>
      <c r="F203" s="608">
        <v>2030</v>
      </c>
      <c r="G203" s="679">
        <f t="shared" si="32"/>
        <v>26390</v>
      </c>
      <c r="H203" s="485">
        <v>1.86</v>
      </c>
      <c r="I203" s="696">
        <f t="shared" si="33"/>
        <v>49085.4</v>
      </c>
      <c r="J203" s="824">
        <f>SUM(I203:I204)</f>
        <v>98170.8</v>
      </c>
      <c r="K203" s="827">
        <f>53000000*2</f>
        <v>106000000</v>
      </c>
      <c r="L203" s="606"/>
      <c r="M203" s="607"/>
      <c r="N203" s="607"/>
      <c r="O203" s="605"/>
      <c r="P203" s="605"/>
      <c r="Q203" s="605"/>
      <c r="R203" s="605"/>
      <c r="S203" s="659"/>
      <c r="T203" s="660"/>
      <c r="U203" s="661"/>
      <c r="V203" s="604" t="s">
        <v>1132</v>
      </c>
    </row>
    <row r="204" spans="1:22" s="487" customFormat="1" ht="18.75" customHeight="1">
      <c r="A204" s="604">
        <v>201</v>
      </c>
      <c r="B204" s="481">
        <v>43074</v>
      </c>
      <c r="C204" s="482"/>
      <c r="D204" s="482"/>
      <c r="E204" s="482"/>
      <c r="F204" s="608">
        <v>2030</v>
      </c>
      <c r="G204" s="679">
        <f t="shared" si="32"/>
        <v>26390</v>
      </c>
      <c r="H204" s="485">
        <v>1.86</v>
      </c>
      <c r="I204" s="696">
        <f t="shared" si="33"/>
        <v>49085.4</v>
      </c>
      <c r="J204" s="826"/>
      <c r="K204" s="829"/>
      <c r="L204" s="606"/>
      <c r="M204" s="607"/>
      <c r="N204" s="607"/>
      <c r="O204" s="605"/>
      <c r="P204" s="605"/>
      <c r="Q204" s="605"/>
      <c r="R204" s="605"/>
      <c r="S204" s="659"/>
      <c r="T204" s="660"/>
      <c r="U204" s="661"/>
      <c r="V204" s="604" t="s">
        <v>1132</v>
      </c>
    </row>
    <row r="205" spans="1:22" s="150" customFormat="1" ht="18" customHeight="1">
      <c r="A205" s="144">
        <v>202</v>
      </c>
      <c r="B205" s="623"/>
      <c r="C205" s="243"/>
      <c r="D205" s="243"/>
      <c r="E205" s="243"/>
      <c r="F205" s="621"/>
      <c r="G205" s="619">
        <f t="shared" si="24"/>
        <v>0</v>
      </c>
      <c r="H205" s="622"/>
      <c r="I205" s="620">
        <f t="shared" si="25"/>
        <v>0</v>
      </c>
      <c r="J205" s="309"/>
      <c r="K205" s="310"/>
      <c r="L205" s="308"/>
      <c r="M205" s="309"/>
      <c r="N205" s="309"/>
      <c r="O205" s="310"/>
      <c r="P205" s="310"/>
      <c r="Q205" s="310"/>
      <c r="R205" s="310"/>
      <c r="S205" s="621"/>
      <c r="T205" s="621"/>
      <c r="U205" s="621"/>
      <c r="V205" s="144"/>
    </row>
    <row r="206" spans="1:22" s="150" customFormat="1" ht="18" customHeight="1">
      <c r="A206" s="144">
        <v>203</v>
      </c>
      <c r="B206" s="623"/>
      <c r="C206" s="243"/>
      <c r="D206" s="243"/>
      <c r="E206" s="243"/>
      <c r="F206" s="621"/>
      <c r="G206" s="619">
        <f t="shared" si="24"/>
        <v>0</v>
      </c>
      <c r="H206" s="622"/>
      <c r="I206" s="620">
        <f t="shared" si="25"/>
        <v>0</v>
      </c>
      <c r="J206" s="309"/>
      <c r="K206" s="310"/>
      <c r="L206" s="308"/>
      <c r="M206" s="309"/>
      <c r="N206" s="309"/>
      <c r="O206" s="310"/>
      <c r="P206" s="310"/>
      <c r="Q206" s="310"/>
      <c r="R206" s="310"/>
      <c r="S206" s="621"/>
      <c r="T206" s="621"/>
      <c r="U206" s="621"/>
      <c r="V206" s="144"/>
    </row>
    <row r="207" spans="1:22" s="150" customFormat="1" ht="18" customHeight="1">
      <c r="A207" s="144">
        <v>204</v>
      </c>
      <c r="B207" s="623"/>
      <c r="C207" s="243"/>
      <c r="D207" s="243"/>
      <c r="E207" s="243"/>
      <c r="F207" s="621"/>
      <c r="G207" s="619">
        <f t="shared" si="24"/>
        <v>0</v>
      </c>
      <c r="H207" s="622"/>
      <c r="I207" s="620">
        <f t="shared" si="25"/>
        <v>0</v>
      </c>
      <c r="J207" s="309"/>
      <c r="K207" s="310"/>
      <c r="L207" s="308"/>
      <c r="M207" s="309"/>
      <c r="N207" s="309"/>
      <c r="O207" s="310"/>
      <c r="P207" s="310"/>
      <c r="Q207" s="310"/>
      <c r="R207" s="310"/>
      <c r="S207" s="253"/>
      <c r="T207" s="254"/>
      <c r="U207" s="255"/>
      <c r="V207" s="144"/>
    </row>
    <row r="208" spans="1:22" s="150" customFormat="1" ht="18" customHeight="1">
      <c r="A208" s="144">
        <v>205</v>
      </c>
      <c r="B208" s="623"/>
      <c r="C208" s="243"/>
      <c r="D208" s="243"/>
      <c r="E208" s="243"/>
      <c r="F208" s="621"/>
      <c r="G208" s="619">
        <f t="shared" si="24"/>
        <v>0</v>
      </c>
      <c r="H208" s="622"/>
      <c r="I208" s="620">
        <f t="shared" si="25"/>
        <v>0</v>
      </c>
      <c r="J208" s="309"/>
      <c r="K208" s="310"/>
      <c r="L208" s="308"/>
      <c r="M208" s="309"/>
      <c r="N208" s="309"/>
      <c r="O208" s="310"/>
      <c r="P208" s="310"/>
      <c r="Q208" s="310"/>
      <c r="R208" s="310"/>
      <c r="S208" s="253"/>
      <c r="T208" s="254"/>
      <c r="U208" s="255"/>
      <c r="V208" s="144"/>
    </row>
    <row r="209" spans="1:22" s="150" customFormat="1" ht="18.75" customHeight="1">
      <c r="A209" s="144">
        <v>206</v>
      </c>
      <c r="B209" s="623"/>
      <c r="C209" s="243"/>
      <c r="D209" s="243"/>
      <c r="E209" s="243"/>
      <c r="F209" s="621"/>
      <c r="G209" s="619">
        <f t="shared" si="24"/>
        <v>0</v>
      </c>
      <c r="H209" s="622"/>
      <c r="I209" s="620">
        <f t="shared" si="25"/>
        <v>0</v>
      </c>
      <c r="J209" s="309"/>
      <c r="K209" s="310"/>
      <c r="L209" s="308"/>
      <c r="M209" s="309"/>
      <c r="N209" s="309"/>
      <c r="O209" s="310"/>
      <c r="P209" s="310"/>
      <c r="Q209" s="310"/>
      <c r="R209" s="310"/>
      <c r="S209" s="253"/>
      <c r="T209" s="254"/>
      <c r="U209" s="255"/>
      <c r="V209" s="144"/>
    </row>
    <row r="210" spans="1:22" s="150" customFormat="1" ht="18.75" customHeight="1">
      <c r="A210" s="144">
        <v>207</v>
      </c>
      <c r="B210" s="623"/>
      <c r="C210" s="243"/>
      <c r="D210" s="243"/>
      <c r="E210" s="243"/>
      <c r="F210" s="621"/>
      <c r="G210" s="619">
        <f t="shared" si="24"/>
        <v>0</v>
      </c>
      <c r="H210" s="622"/>
      <c r="I210" s="620">
        <f t="shared" si="25"/>
        <v>0</v>
      </c>
      <c r="J210" s="309"/>
      <c r="K210" s="310"/>
      <c r="L210" s="308"/>
      <c r="M210" s="309"/>
      <c r="N210" s="309"/>
      <c r="O210" s="310"/>
      <c r="P210" s="310"/>
      <c r="Q210" s="310"/>
      <c r="R210" s="310"/>
      <c r="S210" s="253"/>
      <c r="T210" s="254"/>
      <c r="U210" s="255"/>
      <c r="V210" s="144"/>
    </row>
    <row r="211" spans="1:22" s="150" customFormat="1" ht="18" customHeight="1">
      <c r="A211" s="144">
        <v>208</v>
      </c>
      <c r="B211" s="300"/>
      <c r="C211" s="243"/>
      <c r="D211" s="243"/>
      <c r="E211" s="243"/>
      <c r="F211" s="298"/>
      <c r="G211" s="316">
        <f t="shared" si="16"/>
        <v>0</v>
      </c>
      <c r="H211" s="299"/>
      <c r="I211" s="320">
        <f t="shared" si="7"/>
        <v>0</v>
      </c>
      <c r="J211" s="309"/>
      <c r="K211" s="310"/>
      <c r="L211" s="308"/>
      <c r="M211" s="309"/>
      <c r="N211" s="309"/>
      <c r="O211" s="310"/>
      <c r="P211" s="310"/>
      <c r="Q211" s="310"/>
      <c r="R211" s="310"/>
      <c r="S211" s="298"/>
      <c r="T211" s="298"/>
      <c r="U211" s="298"/>
      <c r="V211" s="144"/>
    </row>
    <row r="212" spans="1:22" s="150" customFormat="1" ht="18" customHeight="1">
      <c r="A212" s="144">
        <v>209</v>
      </c>
      <c r="B212" s="300"/>
      <c r="C212" s="243"/>
      <c r="D212" s="243"/>
      <c r="E212" s="243"/>
      <c r="F212" s="298"/>
      <c r="G212" s="316">
        <f t="shared" si="16"/>
        <v>0</v>
      </c>
      <c r="H212" s="299"/>
      <c r="I212" s="320">
        <f t="shared" si="7"/>
        <v>0</v>
      </c>
      <c r="J212" s="309"/>
      <c r="K212" s="310"/>
      <c r="L212" s="308"/>
      <c r="M212" s="309"/>
      <c r="N212" s="309"/>
      <c r="O212" s="310"/>
      <c r="P212" s="310"/>
      <c r="Q212" s="310"/>
      <c r="R212" s="310"/>
      <c r="S212" s="298"/>
      <c r="T212" s="298"/>
      <c r="U212" s="298"/>
      <c r="V212" s="144"/>
    </row>
    <row r="213" spans="1:22" s="150" customFormat="1" ht="18" customHeight="1">
      <c r="A213" s="144">
        <v>210</v>
      </c>
      <c r="B213" s="300"/>
      <c r="C213" s="243"/>
      <c r="D213" s="243"/>
      <c r="E213" s="243"/>
      <c r="F213" s="298"/>
      <c r="G213" s="316">
        <f t="shared" si="16"/>
        <v>0</v>
      </c>
      <c r="H213" s="299"/>
      <c r="I213" s="320">
        <f t="shared" si="7"/>
        <v>0</v>
      </c>
      <c r="J213" s="309"/>
      <c r="K213" s="310"/>
      <c r="L213" s="308"/>
      <c r="M213" s="309"/>
      <c r="N213" s="309"/>
      <c r="O213" s="310"/>
      <c r="P213" s="310"/>
      <c r="Q213" s="310"/>
      <c r="R213" s="310"/>
      <c r="S213" s="253"/>
      <c r="T213" s="254"/>
      <c r="U213" s="255"/>
      <c r="V213" s="144"/>
    </row>
    <row r="214" spans="1:22" s="150" customFormat="1" ht="18" customHeight="1">
      <c r="A214" s="144">
        <v>211</v>
      </c>
      <c r="B214" s="300"/>
      <c r="C214" s="243"/>
      <c r="D214" s="243"/>
      <c r="E214" s="243"/>
      <c r="F214" s="298"/>
      <c r="G214" s="316">
        <f t="shared" si="16"/>
        <v>0</v>
      </c>
      <c r="H214" s="299"/>
      <c r="I214" s="320">
        <f t="shared" si="7"/>
        <v>0</v>
      </c>
      <c r="J214" s="309"/>
      <c r="K214" s="310"/>
      <c r="L214" s="308"/>
      <c r="M214" s="309"/>
      <c r="N214" s="309"/>
      <c r="O214" s="310"/>
      <c r="P214" s="310"/>
      <c r="Q214" s="310"/>
      <c r="R214" s="310"/>
      <c r="S214" s="253"/>
      <c r="T214" s="254"/>
      <c r="U214" s="255"/>
      <c r="V214" s="144"/>
    </row>
    <row r="215" spans="1:22" s="150" customFormat="1" ht="18.75" customHeight="1">
      <c r="A215" s="144">
        <v>212</v>
      </c>
      <c r="B215" s="300"/>
      <c r="C215" s="243"/>
      <c r="D215" s="243"/>
      <c r="E215" s="243"/>
      <c r="F215" s="298"/>
      <c r="G215" s="316">
        <f t="shared" si="16"/>
        <v>0</v>
      </c>
      <c r="H215" s="299"/>
      <c r="I215" s="320">
        <f t="shared" si="7"/>
        <v>0</v>
      </c>
      <c r="J215" s="309"/>
      <c r="K215" s="310"/>
      <c r="L215" s="308"/>
      <c r="M215" s="309"/>
      <c r="N215" s="309"/>
      <c r="O215" s="310"/>
      <c r="P215" s="310"/>
      <c r="Q215" s="310"/>
      <c r="R215" s="310"/>
      <c r="S215" s="253"/>
      <c r="T215" s="254"/>
      <c r="U215" s="255"/>
      <c r="V215" s="144"/>
    </row>
    <row r="216" spans="1:22" s="150" customFormat="1" ht="18.75" customHeight="1">
      <c r="A216" s="144">
        <v>213</v>
      </c>
      <c r="B216" s="300"/>
      <c r="C216" s="243"/>
      <c r="D216" s="243"/>
      <c r="E216" s="243"/>
      <c r="F216" s="298"/>
      <c r="G216" s="316">
        <f t="shared" si="16"/>
        <v>0</v>
      </c>
      <c r="H216" s="299"/>
      <c r="I216" s="320">
        <f t="shared" si="7"/>
        <v>0</v>
      </c>
      <c r="J216" s="309"/>
      <c r="K216" s="310"/>
      <c r="L216" s="308"/>
      <c r="M216" s="309"/>
      <c r="N216" s="309"/>
      <c r="O216" s="310"/>
      <c r="P216" s="310"/>
      <c r="Q216" s="310"/>
      <c r="R216" s="310"/>
      <c r="S216" s="253"/>
      <c r="T216" s="254"/>
      <c r="U216" s="255"/>
      <c r="V216" s="144"/>
    </row>
    <row r="217" spans="1:22" s="150" customFormat="1" ht="18.75" customHeight="1">
      <c r="A217" s="249"/>
      <c r="B217" s="296"/>
      <c r="C217" s="148"/>
      <c r="D217" s="148"/>
      <c r="E217" s="148"/>
      <c r="F217" s="293"/>
      <c r="G217" s="315"/>
      <c r="H217" s="291"/>
      <c r="I217" s="291"/>
      <c r="J217" s="291"/>
      <c r="K217" s="312"/>
      <c r="L217" s="311"/>
      <c r="M217" s="311"/>
      <c r="N217" s="312"/>
      <c r="O217" s="312"/>
      <c r="P217" s="312"/>
      <c r="Q217" s="312"/>
      <c r="R217" s="312"/>
      <c r="S217" s="291"/>
      <c r="T217" s="291"/>
      <c r="U217" s="291"/>
      <c r="V217" s="249"/>
    </row>
    <row r="218" spans="1:22" s="305" customFormat="1" ht="18.75" customHeight="1">
      <c r="A218" s="846" t="s">
        <v>19</v>
      </c>
      <c r="B218" s="847"/>
      <c r="C218" s="847"/>
      <c r="D218" s="847"/>
      <c r="E218" s="848"/>
      <c r="F218" s="261">
        <f>SUM(F4:F217)</f>
        <v>407787</v>
      </c>
      <c r="G218" s="261"/>
      <c r="H218" s="262"/>
      <c r="I218" s="262"/>
      <c r="J218" s="552">
        <f>SUM(J4:J217)</f>
        <v>13751856.099999998</v>
      </c>
      <c r="K218" s="261">
        <f>SUM(K4:K217)</f>
        <v>10653692680</v>
      </c>
      <c r="L218" s="262"/>
      <c r="M218" s="552">
        <f>SUM(M4:M217)</f>
        <v>2750.3299999999108</v>
      </c>
      <c r="N218" s="262">
        <f>SUM(N4:N217)</f>
        <v>13650934.970000001</v>
      </c>
      <c r="O218" s="262"/>
      <c r="P218" s="261">
        <f>SUM(P4:P217)</f>
        <v>295385907440.39996</v>
      </c>
      <c r="Q218" s="261">
        <f>SUM(Q4:Q217)</f>
        <v>49763591</v>
      </c>
      <c r="R218" s="261">
        <f>SUM(R4:R217)</f>
        <v>295336143849.39996</v>
      </c>
      <c r="S218" s="261"/>
      <c r="T218" s="261">
        <f>SUM(T4:T217)</f>
        <v>1734644880.2749999</v>
      </c>
      <c r="U218" s="261">
        <f>SUM(U4:U217)</f>
        <v>189530518540.79999</v>
      </c>
      <c r="V218" s="262"/>
    </row>
    <row r="219" spans="1:22" ht="18.75" customHeight="1">
      <c r="B219" s="162"/>
    </row>
    <row r="220" spans="1:22" s="237" customFormat="1" ht="18.75" customHeight="1">
      <c r="K220" s="462">
        <f>R218-T218-U218-K218-500000000</f>
        <v>92917287748.324951</v>
      </c>
      <c r="L220" s="305"/>
      <c r="M220" s="305"/>
      <c r="N220" s="463">
        <f>J218-N218-M218</f>
        <v>98170.79999999718</v>
      </c>
      <c r="O220" s="305"/>
      <c r="P220" s="868" t="s">
        <v>463</v>
      </c>
      <c r="Q220" s="868"/>
      <c r="R220" s="868"/>
      <c r="S220" s="259"/>
      <c r="T220" s="259"/>
      <c r="U220" s="259"/>
      <c r="V220" s="301"/>
    </row>
    <row r="221" spans="1:22" ht="18.75" customHeight="1">
      <c r="K221" s="259"/>
      <c r="S221" s="306"/>
      <c r="T221" s="306"/>
      <c r="U221" s="306"/>
      <c r="V221" s="259"/>
    </row>
    <row r="222" spans="1:22" ht="18" customHeight="1">
      <c r="V222" s="307"/>
    </row>
    <row r="223" spans="1:22" ht="18" customHeight="1">
      <c r="K223" s="649">
        <f>N218+'HUNAM - 2017'!N70</f>
        <v>17094393.469999999</v>
      </c>
      <c r="V223" s="307"/>
    </row>
  </sheetData>
  <autoFilter ref="A3:V216"/>
  <mergeCells count="316">
    <mergeCell ref="L199:L202"/>
    <mergeCell ref="M199:M202"/>
    <mergeCell ref="N199:N202"/>
    <mergeCell ref="O199:O202"/>
    <mergeCell ref="P199:P202"/>
    <mergeCell ref="Q199:Q202"/>
    <mergeCell ref="R199:R202"/>
    <mergeCell ref="L157:L162"/>
    <mergeCell ref="M157:M162"/>
    <mergeCell ref="N157:N162"/>
    <mergeCell ref="O157:O162"/>
    <mergeCell ref="P157:P162"/>
    <mergeCell ref="R163:R168"/>
    <mergeCell ref="Q181:Q184"/>
    <mergeCell ref="R181:R184"/>
    <mergeCell ref="Q169:Q180"/>
    <mergeCell ref="R169:R180"/>
    <mergeCell ref="L169:L180"/>
    <mergeCell ref="M169:M180"/>
    <mergeCell ref="N169:N180"/>
    <mergeCell ref="O169:O180"/>
    <mergeCell ref="P169:P180"/>
    <mergeCell ref="R185:R192"/>
    <mergeCell ref="R157:R162"/>
    <mergeCell ref="K203:K204"/>
    <mergeCell ref="J197:J198"/>
    <mergeCell ref="Q157:Q162"/>
    <mergeCell ref="L185:L192"/>
    <mergeCell ref="M185:M192"/>
    <mergeCell ref="N185:N192"/>
    <mergeCell ref="O185:O192"/>
    <mergeCell ref="P185:P192"/>
    <mergeCell ref="Q185:Q192"/>
    <mergeCell ref="J181:J184"/>
    <mergeCell ref="L163:L168"/>
    <mergeCell ref="M163:M168"/>
    <mergeCell ref="N163:N168"/>
    <mergeCell ref="O163:O168"/>
    <mergeCell ref="P163:P168"/>
    <mergeCell ref="Q163:Q168"/>
    <mergeCell ref="K191:K196"/>
    <mergeCell ref="L193:L196"/>
    <mergeCell ref="M193:M196"/>
    <mergeCell ref="L181:L184"/>
    <mergeCell ref="M181:M184"/>
    <mergeCell ref="N181:N184"/>
    <mergeCell ref="O181:O184"/>
    <mergeCell ref="P181:P184"/>
    <mergeCell ref="O109:O114"/>
    <mergeCell ref="Q115:Q120"/>
    <mergeCell ref="O115:O120"/>
    <mergeCell ref="P115:P120"/>
    <mergeCell ref="O141:O148"/>
    <mergeCell ref="R141:R148"/>
    <mergeCell ref="J169:J174"/>
    <mergeCell ref="J175:J180"/>
    <mergeCell ref="J157:J162"/>
    <mergeCell ref="J163:J168"/>
    <mergeCell ref="J143:J148"/>
    <mergeCell ref="J151:J152"/>
    <mergeCell ref="J153:J156"/>
    <mergeCell ref="K169:K190"/>
    <mergeCell ref="J185:J190"/>
    <mergeCell ref="J141:J142"/>
    <mergeCell ref="J149:J150"/>
    <mergeCell ref="L141:L148"/>
    <mergeCell ref="M141:M148"/>
    <mergeCell ref="L149:L156"/>
    <mergeCell ref="M149:M156"/>
    <mergeCell ref="N149:N156"/>
    <mergeCell ref="O149:O156"/>
    <mergeCell ref="P149:P156"/>
    <mergeCell ref="N127:N132"/>
    <mergeCell ref="O127:O132"/>
    <mergeCell ref="P127:P132"/>
    <mergeCell ref="Q127:Q132"/>
    <mergeCell ref="M127:M132"/>
    <mergeCell ref="N141:N148"/>
    <mergeCell ref="O121:O126"/>
    <mergeCell ref="P121:P126"/>
    <mergeCell ref="O133:O140"/>
    <mergeCell ref="L127:L132"/>
    <mergeCell ref="J51:J56"/>
    <mergeCell ref="J57:J62"/>
    <mergeCell ref="Q105:Q108"/>
    <mergeCell ref="R115:R120"/>
    <mergeCell ref="R127:R132"/>
    <mergeCell ref="J127:J132"/>
    <mergeCell ref="J133:J138"/>
    <mergeCell ref="J121:J126"/>
    <mergeCell ref="K121:K138"/>
    <mergeCell ref="L105:L108"/>
    <mergeCell ref="M105:M108"/>
    <mergeCell ref="N105:N108"/>
    <mergeCell ref="L121:L126"/>
    <mergeCell ref="M121:M126"/>
    <mergeCell ref="N121:N126"/>
    <mergeCell ref="L133:L140"/>
    <mergeCell ref="M133:M140"/>
    <mergeCell ref="N133:N140"/>
    <mergeCell ref="N109:N114"/>
    <mergeCell ref="K115:K120"/>
    <mergeCell ref="L115:L120"/>
    <mergeCell ref="M115:M120"/>
    <mergeCell ref="N115:N120"/>
    <mergeCell ref="L37:L39"/>
    <mergeCell ref="J105:J108"/>
    <mergeCell ref="J109:J114"/>
    <mergeCell ref="K105:K114"/>
    <mergeCell ref="K95:K104"/>
    <mergeCell ref="L81:L84"/>
    <mergeCell ref="M81:M84"/>
    <mergeCell ref="L99:L104"/>
    <mergeCell ref="J95:J98"/>
    <mergeCell ref="K37:K44"/>
    <mergeCell ref="L93:L98"/>
    <mergeCell ref="L109:L114"/>
    <mergeCell ref="M109:M114"/>
    <mergeCell ref="L89:L92"/>
    <mergeCell ref="M89:M92"/>
    <mergeCell ref="M99:M104"/>
    <mergeCell ref="L51:L56"/>
    <mergeCell ref="M93:M98"/>
    <mergeCell ref="L45:L50"/>
    <mergeCell ref="M57:M62"/>
    <mergeCell ref="M45:M50"/>
    <mergeCell ref="L85:L88"/>
    <mergeCell ref="M85:M88"/>
    <mergeCell ref="M40:M44"/>
    <mergeCell ref="A218:E218"/>
    <mergeCell ref="J37:J44"/>
    <mergeCell ref="J45:J50"/>
    <mergeCell ref="J81:J84"/>
    <mergeCell ref="J85:J88"/>
    <mergeCell ref="K85:K94"/>
    <mergeCell ref="J99:J104"/>
    <mergeCell ref="J115:J120"/>
    <mergeCell ref="J139:J140"/>
    <mergeCell ref="K149:K150"/>
    <mergeCell ref="K143:K148"/>
    <mergeCell ref="K139:K140"/>
    <mergeCell ref="J199:J202"/>
    <mergeCell ref="J193:J196"/>
    <mergeCell ref="K157:K168"/>
    <mergeCell ref="K197:K202"/>
    <mergeCell ref="J191:J192"/>
    <mergeCell ref="J63:J68"/>
    <mergeCell ref="J69:J74"/>
    <mergeCell ref="K57:K62"/>
    <mergeCell ref="K45:K56"/>
    <mergeCell ref="J75:J80"/>
    <mergeCell ref="K63:K84"/>
    <mergeCell ref="J203:J204"/>
    <mergeCell ref="L69:L74"/>
    <mergeCell ref="M69:M74"/>
    <mergeCell ref="L57:L62"/>
    <mergeCell ref="L63:L68"/>
    <mergeCell ref="M75:M80"/>
    <mergeCell ref="M51:M56"/>
    <mergeCell ref="M63:M68"/>
    <mergeCell ref="L75:L80"/>
    <mergeCell ref="L40:L44"/>
    <mergeCell ref="S2:U2"/>
    <mergeCell ref="V2:V3"/>
    <mergeCell ref="K2:K3"/>
    <mergeCell ref="R10:R14"/>
    <mergeCell ref="R15:R20"/>
    <mergeCell ref="O15:O20"/>
    <mergeCell ref="P15:P20"/>
    <mergeCell ref="N4:N9"/>
    <mergeCell ref="Q4:Q9"/>
    <mergeCell ref="O4:O9"/>
    <mergeCell ref="P4:P9"/>
    <mergeCell ref="M10:M14"/>
    <mergeCell ref="N10:N14"/>
    <mergeCell ref="O10:O14"/>
    <mergeCell ref="P10:P14"/>
    <mergeCell ref="Q10:Q14"/>
    <mergeCell ref="L15:L20"/>
    <mergeCell ref="M15:M20"/>
    <mergeCell ref="N15:N20"/>
    <mergeCell ref="L10:L14"/>
    <mergeCell ref="R40:R44"/>
    <mergeCell ref="J27:J32"/>
    <mergeCell ref="P27:P32"/>
    <mergeCell ref="Q27:Q32"/>
    <mergeCell ref="R27:R32"/>
    <mergeCell ref="Q45:Q50"/>
    <mergeCell ref="Q51:Q56"/>
    <mergeCell ref="P51:P56"/>
    <mergeCell ref="R37:R39"/>
    <mergeCell ref="Q37:Q39"/>
    <mergeCell ref="Q33:Q36"/>
    <mergeCell ref="P33:P36"/>
    <mergeCell ref="L27:L32"/>
    <mergeCell ref="M27:M32"/>
    <mergeCell ref="N27:N32"/>
    <mergeCell ref="O27:O32"/>
    <mergeCell ref="P45:P50"/>
    <mergeCell ref="N33:N36"/>
    <mergeCell ref="O33:O36"/>
    <mergeCell ref="K33:K36"/>
    <mergeCell ref="N45:N50"/>
    <mergeCell ref="O45:O50"/>
    <mergeCell ref="L33:L36"/>
    <mergeCell ref="M33:M36"/>
    <mergeCell ref="N37:N39"/>
    <mergeCell ref="O37:O39"/>
    <mergeCell ref="P37:P39"/>
    <mergeCell ref="N93:N98"/>
    <mergeCell ref="O93:O98"/>
    <mergeCell ref="P93:P98"/>
    <mergeCell ref="Q93:Q98"/>
    <mergeCell ref="N51:N56"/>
    <mergeCell ref="O51:O56"/>
    <mergeCell ref="N75:N80"/>
    <mergeCell ref="P85:P88"/>
    <mergeCell ref="O75:O80"/>
    <mergeCell ref="P63:P68"/>
    <mergeCell ref="Q63:Q68"/>
    <mergeCell ref="O57:O62"/>
    <mergeCell ref="O63:O68"/>
    <mergeCell ref="P40:P44"/>
    <mergeCell ref="Q40:Q44"/>
    <mergeCell ref="N85:N88"/>
    <mergeCell ref="O85:O88"/>
    <mergeCell ref="N40:N44"/>
    <mergeCell ref="O40:O44"/>
    <mergeCell ref="R33:R36"/>
    <mergeCell ref="R63:R68"/>
    <mergeCell ref="R69:R74"/>
    <mergeCell ref="P57:P62"/>
    <mergeCell ref="Q57:Q62"/>
    <mergeCell ref="P220:R220"/>
    <mergeCell ref="J4:J9"/>
    <mergeCell ref="J33:J36"/>
    <mergeCell ref="J89:J92"/>
    <mergeCell ref="J93:J94"/>
    <mergeCell ref="N57:N62"/>
    <mergeCell ref="N69:N74"/>
    <mergeCell ref="O69:O74"/>
    <mergeCell ref="P69:P74"/>
    <mergeCell ref="Q69:Q74"/>
    <mergeCell ref="N63:N68"/>
    <mergeCell ref="R57:R62"/>
    <mergeCell ref="M37:M39"/>
    <mergeCell ref="P75:P80"/>
    <mergeCell ref="Q75:Q80"/>
    <mergeCell ref="Q109:Q114"/>
    <mergeCell ref="R109:R114"/>
    <mergeCell ref="R81:R84"/>
    <mergeCell ref="R99:R104"/>
    <mergeCell ref="A2:A3"/>
    <mergeCell ref="B2:B3"/>
    <mergeCell ref="C2:E2"/>
    <mergeCell ref="F2:J2"/>
    <mergeCell ref="L2:R2"/>
    <mergeCell ref="J10:J14"/>
    <mergeCell ref="J15:J20"/>
    <mergeCell ref="J21:J26"/>
    <mergeCell ref="L4:L9"/>
    <mergeCell ref="M4:M9"/>
    <mergeCell ref="K4:K32"/>
    <mergeCell ref="R4:R9"/>
    <mergeCell ref="Q15:Q20"/>
    <mergeCell ref="Q21:Q26"/>
    <mergeCell ref="R21:R26"/>
    <mergeCell ref="L21:L26"/>
    <mergeCell ref="M21:M26"/>
    <mergeCell ref="N21:N26"/>
    <mergeCell ref="O21:O26"/>
    <mergeCell ref="P21:P26"/>
    <mergeCell ref="O99:O104"/>
    <mergeCell ref="O105:O108"/>
    <mergeCell ref="P105:P108"/>
    <mergeCell ref="N89:N92"/>
    <mergeCell ref="N81:N84"/>
    <mergeCell ref="N99:N104"/>
    <mergeCell ref="Q99:Q104"/>
    <mergeCell ref="R105:R108"/>
    <mergeCell ref="O89:O92"/>
    <mergeCell ref="O81:O84"/>
    <mergeCell ref="R75:R80"/>
    <mergeCell ref="R51:R56"/>
    <mergeCell ref="R45:R50"/>
    <mergeCell ref="R149:R156"/>
    <mergeCell ref="Q85:Q88"/>
    <mergeCell ref="P81:P84"/>
    <mergeCell ref="Q81:Q84"/>
    <mergeCell ref="P133:P140"/>
    <mergeCell ref="Q133:Q140"/>
    <mergeCell ref="R133:R140"/>
    <mergeCell ref="P89:P92"/>
    <mergeCell ref="Q89:Q92"/>
    <mergeCell ref="R89:R92"/>
    <mergeCell ref="R121:R126"/>
    <mergeCell ref="P141:P148"/>
    <mergeCell ref="Q141:Q148"/>
    <mergeCell ref="R85:R88"/>
    <mergeCell ref="P99:P104"/>
    <mergeCell ref="R93:R98"/>
    <mergeCell ref="P109:P114"/>
    <mergeCell ref="Q121:Q126"/>
    <mergeCell ref="Q149:Q156"/>
    <mergeCell ref="N193:N196"/>
    <mergeCell ref="O193:O196"/>
    <mergeCell ref="P193:P196"/>
    <mergeCell ref="Q193:Q196"/>
    <mergeCell ref="R193:R196"/>
    <mergeCell ref="L197:L198"/>
    <mergeCell ref="M197:M198"/>
    <mergeCell ref="N197:N198"/>
    <mergeCell ref="O197:O198"/>
    <mergeCell ref="P197:P198"/>
    <mergeCell ref="Q197:Q198"/>
    <mergeCell ref="R197:R198"/>
  </mergeCells>
  <pageMargins left="0.16" right="0.16" top="0.11" bottom="0.16" header="0.3" footer="0.3"/>
  <pageSetup paperSize="9"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756"/>
  <sheetViews>
    <sheetView topLeftCell="A713" zoomScale="90" zoomScaleNormal="90" workbookViewId="0">
      <selection activeCell="A746" sqref="A746:G757"/>
    </sheetView>
  </sheetViews>
  <sheetFormatPr defaultColWidth="9.140625" defaultRowHeight="15"/>
  <cols>
    <col min="1" max="1" width="5.42578125" style="335" customWidth="1"/>
    <col min="2" max="2" width="38" style="335" customWidth="1"/>
    <col min="3" max="3" width="11.7109375" style="340" customWidth="1"/>
    <col min="4" max="4" width="8.140625" style="341" customWidth="1"/>
    <col min="5" max="5" width="16.42578125" style="341" customWidth="1"/>
    <col min="6" max="6" width="14.85546875" style="335" customWidth="1"/>
    <col min="7" max="7" width="14.85546875" style="334" customWidth="1"/>
    <col min="8" max="8" width="1" style="334" customWidth="1"/>
    <col min="9" max="9" width="4.85546875" style="334" customWidth="1"/>
    <col min="10" max="10" width="8.85546875" style="334" customWidth="1"/>
    <col min="11" max="11" width="8.5703125" style="334" customWidth="1"/>
    <col min="12" max="12" width="22.140625" style="334" customWidth="1"/>
    <col min="13" max="13" width="6" style="334" customWidth="1"/>
    <col min="14" max="14" width="5.42578125" style="334" hidden="1" customWidth="1"/>
    <col min="15" max="16" width="7.28515625" style="334" customWidth="1"/>
    <col min="17" max="18" width="8.5703125" style="335" customWidth="1"/>
    <col min="19" max="19" width="14.42578125" style="335" customWidth="1"/>
    <col min="20" max="20" width="14.85546875" style="335" customWidth="1"/>
    <col min="21" max="16384" width="9.140625" style="335"/>
  </cols>
  <sheetData>
    <row r="1" spans="2:16" ht="31.5" customHeight="1">
      <c r="B1" s="330" t="s">
        <v>21</v>
      </c>
      <c r="C1" s="331" t="s">
        <v>50</v>
      </c>
      <c r="D1" s="332" t="s">
        <v>51</v>
      </c>
      <c r="E1" s="332" t="s">
        <v>9</v>
      </c>
      <c r="F1" s="333" t="s">
        <v>117</v>
      </c>
      <c r="G1" s="332" t="s">
        <v>52</v>
      </c>
      <c r="H1" s="350"/>
      <c r="I1" s="350"/>
    </row>
    <row r="2" spans="2:16">
      <c r="B2" s="253" t="s">
        <v>509</v>
      </c>
      <c r="C2" s="309">
        <v>418934.45</v>
      </c>
      <c r="D2" s="255">
        <v>22610</v>
      </c>
      <c r="E2" s="255">
        <f>C2*D2</f>
        <v>9472107914.5</v>
      </c>
      <c r="F2" s="336"/>
      <c r="G2" s="255"/>
      <c r="H2" s="351"/>
      <c r="I2" s="351"/>
    </row>
    <row r="3" spans="2:16">
      <c r="B3" s="253" t="s">
        <v>123</v>
      </c>
      <c r="C3" s="310"/>
      <c r="D3" s="255"/>
      <c r="E3" s="255"/>
      <c r="F3" s="254">
        <v>2506900</v>
      </c>
      <c r="G3" s="255"/>
      <c r="H3" s="351"/>
      <c r="I3" s="351"/>
    </row>
    <row r="4" spans="2:16">
      <c r="B4" s="253" t="s">
        <v>510</v>
      </c>
      <c r="C4" s="310"/>
      <c r="D4" s="255"/>
      <c r="E4" s="255"/>
      <c r="F4" s="254"/>
      <c r="G4" s="255">
        <f>29*51000000</f>
        <v>1479000000</v>
      </c>
      <c r="H4" s="351"/>
      <c r="I4" s="351"/>
    </row>
    <row r="5" spans="2:16">
      <c r="B5" s="253" t="s">
        <v>511</v>
      </c>
      <c r="C5" s="310"/>
      <c r="D5" s="255"/>
      <c r="E5" s="255"/>
      <c r="F5" s="254"/>
      <c r="G5" s="255">
        <f>9000000*3</f>
        <v>27000000</v>
      </c>
      <c r="H5" s="351"/>
      <c r="I5" s="351"/>
    </row>
    <row r="6" spans="2:16">
      <c r="B6" s="253" t="s">
        <v>394</v>
      </c>
      <c r="C6" s="337"/>
      <c r="D6" s="255"/>
      <c r="E6" s="255">
        <f>C6*D6</f>
        <v>0</v>
      </c>
      <c r="F6" s="254">
        <v>1100000</v>
      </c>
      <c r="G6" s="255">
        <v>2848697800</v>
      </c>
      <c r="H6" s="351"/>
      <c r="I6" s="351"/>
    </row>
    <row r="7" spans="2:16">
      <c r="B7" s="329" t="s">
        <v>401</v>
      </c>
      <c r="C7" s="338"/>
      <c r="D7" s="258"/>
      <c r="E7" s="258"/>
      <c r="F7" s="254">
        <v>1100000</v>
      </c>
      <c r="G7" s="258">
        <v>1444430000</v>
      </c>
      <c r="H7" s="351"/>
      <c r="I7" s="351"/>
    </row>
    <row r="8" spans="2:16">
      <c r="B8" s="329" t="s">
        <v>55</v>
      </c>
      <c r="C8" s="338"/>
      <c r="D8" s="258"/>
      <c r="E8" s="258"/>
      <c r="F8" s="254">
        <v>1100000</v>
      </c>
      <c r="G8" s="258">
        <v>2246630000</v>
      </c>
      <c r="H8" s="351"/>
      <c r="I8" s="351"/>
    </row>
    <row r="9" spans="2:16">
      <c r="B9" s="256" t="s">
        <v>152</v>
      </c>
      <c r="C9" s="338"/>
      <c r="D9" s="258"/>
      <c r="E9" s="258"/>
      <c r="F9" s="254">
        <v>1100000</v>
      </c>
      <c r="G9" s="255">
        <v>1419444000</v>
      </c>
      <c r="H9" s="351"/>
      <c r="I9" s="351"/>
    </row>
    <row r="10" spans="2:16">
      <c r="B10" s="329"/>
      <c r="C10" s="338"/>
      <c r="D10" s="258"/>
      <c r="E10" s="258"/>
      <c r="F10" s="260"/>
      <c r="G10" s="258"/>
      <c r="H10" s="351"/>
      <c r="I10" s="351"/>
    </row>
    <row r="11" spans="2:16" ht="6" customHeight="1">
      <c r="B11" s="329"/>
      <c r="C11" s="338"/>
      <c r="D11" s="258"/>
      <c r="E11" s="258"/>
      <c r="F11" s="339"/>
      <c r="G11" s="258"/>
      <c r="H11" s="351"/>
      <c r="I11" s="351"/>
    </row>
    <row r="12" spans="2:16" s="382" customFormat="1" ht="12.75">
      <c r="B12" s="376" t="s">
        <v>57</v>
      </c>
      <c r="C12" s="377"/>
      <c r="D12" s="378"/>
      <c r="E12" s="378">
        <f>SUM(E2:E11)</f>
        <v>9472107914.5</v>
      </c>
      <c r="F12" s="379">
        <f>SUM(F2:F11)</f>
        <v>6906900</v>
      </c>
      <c r="G12" s="378">
        <f>SUM(G2:G11)</f>
        <v>9465201800</v>
      </c>
      <c r="H12" s="380"/>
      <c r="I12" s="380"/>
      <c r="J12" s="381"/>
      <c r="K12" s="381"/>
      <c r="L12" s="381"/>
      <c r="M12" s="381"/>
      <c r="N12" s="381"/>
      <c r="O12" s="381"/>
      <c r="P12" s="381"/>
    </row>
    <row r="13" spans="2:16">
      <c r="G13" s="342">
        <f>E12-F12-G12</f>
        <v>-785.5</v>
      </c>
      <c r="H13" s="342"/>
      <c r="I13" s="342"/>
    </row>
    <row r="15" spans="2:16" ht="31.5" customHeight="1">
      <c r="B15" s="330" t="s">
        <v>21</v>
      </c>
      <c r="C15" s="331" t="s">
        <v>50</v>
      </c>
      <c r="D15" s="332" t="s">
        <v>51</v>
      </c>
      <c r="E15" s="332" t="s">
        <v>9</v>
      </c>
      <c r="F15" s="333" t="s">
        <v>117</v>
      </c>
      <c r="G15" s="332" t="s">
        <v>52</v>
      </c>
      <c r="H15" s="350"/>
      <c r="I15" s="350"/>
    </row>
    <row r="16" spans="2:16">
      <c r="B16" s="253" t="s">
        <v>545</v>
      </c>
      <c r="C16" s="309">
        <v>348138.05</v>
      </c>
      <c r="D16" s="255">
        <v>22630</v>
      </c>
      <c r="E16" s="255">
        <f>C16*D16</f>
        <v>7878364071.5</v>
      </c>
      <c r="F16" s="336"/>
      <c r="G16" s="255"/>
      <c r="H16" s="351"/>
      <c r="I16" s="351"/>
    </row>
    <row r="17" spans="2:16">
      <c r="B17" s="329" t="s">
        <v>55</v>
      </c>
      <c r="C17" s="337"/>
      <c r="D17" s="255"/>
      <c r="E17" s="255">
        <f>C17*D17</f>
        <v>0</v>
      </c>
      <c r="F17" s="254">
        <v>1100000</v>
      </c>
      <c r="G17" s="255">
        <v>2306462000</v>
      </c>
      <c r="H17" s="351"/>
      <c r="I17" s="351"/>
    </row>
    <row r="18" spans="2:16">
      <c r="B18" s="256" t="s">
        <v>152</v>
      </c>
      <c r="C18" s="338"/>
      <c r="D18" s="258"/>
      <c r="E18" s="258"/>
      <c r="F18" s="254">
        <v>1100000</v>
      </c>
      <c r="G18" s="258">
        <v>1419444000</v>
      </c>
      <c r="H18" s="351"/>
      <c r="I18" s="351"/>
    </row>
    <row r="19" spans="2:16">
      <c r="B19" s="329" t="s">
        <v>131</v>
      </c>
      <c r="C19" s="338"/>
      <c r="D19" s="258"/>
      <c r="E19" s="258"/>
      <c r="F19" s="254">
        <v>1100000</v>
      </c>
      <c r="G19" s="258">
        <v>1143740000</v>
      </c>
      <c r="H19" s="351"/>
      <c r="I19" s="351"/>
    </row>
    <row r="20" spans="2:16">
      <c r="B20" s="256" t="s">
        <v>397</v>
      </c>
      <c r="C20" s="338"/>
      <c r="D20" s="258"/>
      <c r="E20" s="258"/>
      <c r="F20" s="254">
        <v>1100000</v>
      </c>
      <c r="G20" s="255">
        <v>1653600000</v>
      </c>
      <c r="H20" s="351"/>
      <c r="I20" s="351"/>
    </row>
    <row r="21" spans="2:16">
      <c r="B21" s="253" t="s">
        <v>394</v>
      </c>
      <c r="C21" s="338"/>
      <c r="D21" s="258"/>
      <c r="E21" s="258"/>
      <c r="F21" s="254">
        <v>1100000</v>
      </c>
      <c r="G21" s="255">
        <v>1349618000</v>
      </c>
      <c r="H21" s="351"/>
      <c r="I21" s="351"/>
    </row>
    <row r="22" spans="2:16">
      <c r="B22" s="329"/>
      <c r="C22" s="338"/>
      <c r="D22" s="258"/>
      <c r="E22" s="258"/>
      <c r="F22" s="260"/>
      <c r="G22" s="258"/>
      <c r="H22" s="351"/>
      <c r="I22" s="351"/>
    </row>
    <row r="23" spans="2:16" ht="6" customHeight="1">
      <c r="B23" s="329"/>
      <c r="C23" s="338"/>
      <c r="D23" s="258"/>
      <c r="E23" s="258"/>
      <c r="F23" s="339"/>
      <c r="G23" s="258"/>
      <c r="H23" s="351"/>
      <c r="I23" s="351"/>
    </row>
    <row r="24" spans="2:16" s="382" customFormat="1" ht="12.75">
      <c r="B24" s="376" t="s">
        <v>57</v>
      </c>
      <c r="C24" s="377"/>
      <c r="D24" s="378"/>
      <c r="E24" s="378">
        <f>SUM(E16:E23)</f>
        <v>7878364071.5</v>
      </c>
      <c r="F24" s="379">
        <f>SUM(F16:F23)</f>
        <v>5500000</v>
      </c>
      <c r="G24" s="378">
        <f>SUM(G16:G23)</f>
        <v>7872864000</v>
      </c>
      <c r="H24" s="380"/>
      <c r="I24" s="380"/>
      <c r="J24" s="381"/>
      <c r="K24" s="381"/>
      <c r="L24" s="381"/>
      <c r="M24" s="381"/>
      <c r="N24" s="381"/>
      <c r="O24" s="381"/>
      <c r="P24" s="381"/>
    </row>
    <row r="26" spans="2:16">
      <c r="G26" s="342">
        <f>E24-F24-G24</f>
        <v>71.5</v>
      </c>
      <c r="H26" s="342"/>
      <c r="I26" s="342"/>
    </row>
    <row r="28" spans="2:16" ht="31.5" customHeight="1">
      <c r="B28" s="330" t="s">
        <v>21</v>
      </c>
      <c r="C28" s="331" t="s">
        <v>50</v>
      </c>
      <c r="D28" s="332" t="s">
        <v>51</v>
      </c>
      <c r="E28" s="332" t="s">
        <v>9</v>
      </c>
      <c r="F28" s="333" t="s">
        <v>117</v>
      </c>
      <c r="G28" s="332" t="s">
        <v>52</v>
      </c>
      <c r="H28" s="350"/>
      <c r="I28" s="350"/>
    </row>
    <row r="29" spans="2:16">
      <c r="B29" s="253" t="s">
        <v>546</v>
      </c>
      <c r="C29" s="309">
        <v>449673.6</v>
      </c>
      <c r="D29" s="255">
        <v>22630</v>
      </c>
      <c r="E29" s="255">
        <f>C29*D29</f>
        <v>10176113568</v>
      </c>
      <c r="F29" s="336"/>
      <c r="G29" s="255"/>
      <c r="H29" s="351"/>
      <c r="I29" s="351"/>
    </row>
    <row r="30" spans="2:16">
      <c r="B30" s="253" t="s">
        <v>123</v>
      </c>
      <c r="C30" s="310"/>
      <c r="D30" s="255"/>
      <c r="E30" s="255"/>
      <c r="F30" s="254">
        <v>2506900</v>
      </c>
      <c r="G30" s="255"/>
      <c r="H30" s="351"/>
      <c r="I30" s="351"/>
    </row>
    <row r="31" spans="2:16">
      <c r="B31" s="253" t="s">
        <v>548</v>
      </c>
      <c r="C31" s="310"/>
      <c r="D31" s="255"/>
      <c r="E31" s="255"/>
      <c r="F31" s="254"/>
      <c r="G31" s="255">
        <f>4*51000000</f>
        <v>204000000</v>
      </c>
      <c r="H31" s="351"/>
      <c r="I31" s="351"/>
    </row>
    <row r="32" spans="2:16">
      <c r="B32" s="256" t="s">
        <v>152</v>
      </c>
      <c r="C32" s="338"/>
      <c r="D32" s="258"/>
      <c r="E32" s="258"/>
      <c r="F32" s="254">
        <v>1100000</v>
      </c>
      <c r="G32" s="258">
        <v>2186691000</v>
      </c>
      <c r="H32" s="351"/>
      <c r="I32" s="351"/>
    </row>
    <row r="33" spans="2:19">
      <c r="B33" s="256" t="s">
        <v>397</v>
      </c>
      <c r="C33" s="338"/>
      <c r="D33" s="258"/>
      <c r="E33" s="258"/>
      <c r="F33" s="254">
        <v>1100000</v>
      </c>
      <c r="G33" s="255">
        <v>2797340000</v>
      </c>
      <c r="H33" s="351"/>
      <c r="I33" s="351"/>
    </row>
    <row r="34" spans="2:19">
      <c r="B34" s="253" t="s">
        <v>394</v>
      </c>
      <c r="C34" s="338"/>
      <c r="D34" s="258"/>
      <c r="E34" s="258"/>
      <c r="F34" s="254">
        <v>1100000</v>
      </c>
      <c r="G34" s="255">
        <f>5186275000-204000000</f>
        <v>4982275000</v>
      </c>
      <c r="H34" s="351"/>
      <c r="I34" s="351"/>
    </row>
    <row r="35" spans="2:19">
      <c r="B35" s="329"/>
      <c r="C35" s="338"/>
      <c r="D35" s="258"/>
      <c r="E35" s="258"/>
      <c r="F35" s="260"/>
      <c r="G35" s="258"/>
      <c r="H35" s="351"/>
      <c r="I35" s="351"/>
    </row>
    <row r="36" spans="2:19" ht="6" customHeight="1">
      <c r="B36" s="329"/>
      <c r="C36" s="338"/>
      <c r="D36" s="258"/>
      <c r="E36" s="258"/>
      <c r="F36" s="339"/>
      <c r="G36" s="258"/>
      <c r="H36" s="351"/>
      <c r="I36" s="351"/>
    </row>
    <row r="37" spans="2:19" s="382" customFormat="1" ht="12.75">
      <c r="B37" s="376" t="s">
        <v>57</v>
      </c>
      <c r="C37" s="377"/>
      <c r="D37" s="378"/>
      <c r="E37" s="378">
        <f>SUM(E29:E36)</f>
        <v>10176113568</v>
      </c>
      <c r="F37" s="379">
        <f>SUM(F29:F36)</f>
        <v>5806900</v>
      </c>
      <c r="G37" s="378">
        <f>SUM(G29:G36)</f>
        <v>10170306000</v>
      </c>
      <c r="H37" s="380"/>
      <c r="I37" s="380"/>
      <c r="J37" s="381"/>
      <c r="K37" s="381"/>
      <c r="L37" s="381"/>
      <c r="M37" s="381"/>
      <c r="N37" s="381"/>
      <c r="O37" s="381"/>
      <c r="P37" s="381"/>
    </row>
    <row r="40" spans="2:19">
      <c r="G40" s="342">
        <f>E37-F37-G37</f>
        <v>668</v>
      </c>
      <c r="H40" s="342"/>
      <c r="I40" s="342"/>
    </row>
    <row r="43" spans="2:19">
      <c r="J43" s="352" t="s">
        <v>29</v>
      </c>
      <c r="K43" s="353"/>
      <c r="L43" s="354"/>
      <c r="M43" s="353"/>
      <c r="N43" s="353"/>
      <c r="O43" s="353"/>
      <c r="P43" s="353"/>
      <c r="Q43" s="353"/>
      <c r="R43" s="353"/>
      <c r="S43" s="353"/>
    </row>
    <row r="44" spans="2:19" ht="38.25" customHeight="1">
      <c r="B44" s="330" t="s">
        <v>21</v>
      </c>
      <c r="C44" s="331" t="s">
        <v>50</v>
      </c>
      <c r="D44" s="332" t="s">
        <v>51</v>
      </c>
      <c r="E44" s="332" t="s">
        <v>9</v>
      </c>
      <c r="F44" s="333" t="s">
        <v>117</v>
      </c>
      <c r="G44" s="332" t="s">
        <v>52</v>
      </c>
      <c r="J44" s="330" t="s">
        <v>30</v>
      </c>
      <c r="K44" s="330" t="s">
        <v>31</v>
      </c>
      <c r="L44" s="330" t="s">
        <v>103</v>
      </c>
      <c r="M44" s="330" t="s">
        <v>32</v>
      </c>
      <c r="N44" s="330" t="s">
        <v>573</v>
      </c>
      <c r="O44" s="330" t="s">
        <v>83</v>
      </c>
      <c r="P44" s="330"/>
      <c r="Q44" s="331" t="s">
        <v>33</v>
      </c>
      <c r="R44" s="332" t="s">
        <v>106</v>
      </c>
      <c r="S44" s="332" t="s">
        <v>9</v>
      </c>
    </row>
    <row r="45" spans="2:19">
      <c r="B45" s="253" t="s">
        <v>549</v>
      </c>
      <c r="C45" s="309">
        <v>286055.59999999998</v>
      </c>
      <c r="D45" s="255">
        <v>22630</v>
      </c>
      <c r="E45" s="255">
        <f>C45*D45</f>
        <v>6473438227.999999</v>
      </c>
      <c r="F45" s="336"/>
      <c r="G45" s="255"/>
      <c r="J45" s="355">
        <v>42817</v>
      </c>
      <c r="K45" s="355">
        <v>42817</v>
      </c>
      <c r="L45" s="356" t="s">
        <v>552</v>
      </c>
      <c r="M45" s="356">
        <f t="shared" ref="M45:M58" si="0">IF(K45&lt;&gt;"",K45-J45+1,"")</f>
        <v>1</v>
      </c>
      <c r="N45" s="356" t="str">
        <f>IF(AND(M45&lt;&gt;"",M45&gt;2),M45-2,"")</f>
        <v/>
      </c>
      <c r="O45" s="348">
        <v>2021</v>
      </c>
      <c r="P45" s="505"/>
      <c r="Q45" s="349">
        <f>O45*13</f>
        <v>26273</v>
      </c>
      <c r="R45" s="357">
        <f t="shared" ref="R45:R58" si="1">IF(AND(M45&lt;&gt;"",M45&gt;3),20000,0)</f>
        <v>0</v>
      </c>
      <c r="S45" s="357" t="str">
        <f>IF(AND(M45&lt;&gt;"",M45&gt;3),R45*Q45*N45/1000,"")</f>
        <v/>
      </c>
    </row>
    <row r="46" spans="2:19">
      <c r="B46" s="253" t="s">
        <v>123</v>
      </c>
      <c r="C46" s="310"/>
      <c r="D46" s="255"/>
      <c r="E46" s="255"/>
      <c r="F46" s="254">
        <v>2504700</v>
      </c>
      <c r="G46" s="255"/>
      <c r="J46" s="355">
        <v>42817</v>
      </c>
      <c r="K46" s="355">
        <v>42817</v>
      </c>
      <c r="L46" s="356" t="s">
        <v>553</v>
      </c>
      <c r="M46" s="356">
        <f t="shared" si="0"/>
        <v>1</v>
      </c>
      <c r="N46" s="356" t="str">
        <f t="shared" ref="N46:N58" si="2">IF(AND(M46&lt;&gt;"",M46&gt;2),M46-2,"")</f>
        <v/>
      </c>
      <c r="O46" s="348">
        <v>2022</v>
      </c>
      <c r="P46" s="505"/>
      <c r="Q46" s="349">
        <f>O46*13</f>
        <v>26286</v>
      </c>
      <c r="R46" s="357">
        <f t="shared" si="1"/>
        <v>0</v>
      </c>
      <c r="S46" s="357" t="str">
        <f t="shared" ref="S46:S58" si="3">IF(AND(M46&lt;&gt;"",M46&gt;3),R46*Q46*N46/1000,"")</f>
        <v/>
      </c>
    </row>
    <row r="47" spans="2:19">
      <c r="B47" s="253" t="s">
        <v>550</v>
      </c>
      <c r="C47" s="310"/>
      <c r="D47" s="255"/>
      <c r="E47" s="255"/>
      <c r="F47" s="254"/>
      <c r="G47" s="255">
        <f>8*51000000</f>
        <v>408000000</v>
      </c>
      <c r="J47" s="355">
        <v>42828</v>
      </c>
      <c r="K47" s="355">
        <v>42828</v>
      </c>
      <c r="L47" s="356" t="s">
        <v>554</v>
      </c>
      <c r="M47" s="356">
        <f t="shared" si="0"/>
        <v>1</v>
      </c>
      <c r="N47" s="356" t="str">
        <f t="shared" si="2"/>
        <v/>
      </c>
      <c r="O47" s="348">
        <v>2030</v>
      </c>
      <c r="P47" s="505"/>
      <c r="Q47" s="349">
        <f t="shared" ref="Q47:Q55" si="4">O47*13</f>
        <v>26390</v>
      </c>
      <c r="R47" s="357">
        <f t="shared" si="1"/>
        <v>0</v>
      </c>
      <c r="S47" s="357" t="str">
        <f t="shared" si="3"/>
        <v/>
      </c>
    </row>
    <row r="48" spans="2:19">
      <c r="B48" s="253" t="s">
        <v>391</v>
      </c>
      <c r="C48" s="310"/>
      <c r="D48" s="255"/>
      <c r="E48" s="255"/>
      <c r="F48" s="254"/>
      <c r="G48" s="255">
        <f>S60</f>
        <v>22167600</v>
      </c>
      <c r="J48" s="355">
        <v>42838</v>
      </c>
      <c r="K48" s="355">
        <v>42838</v>
      </c>
      <c r="L48" s="356" t="s">
        <v>555</v>
      </c>
      <c r="M48" s="356">
        <f t="shared" si="0"/>
        <v>1</v>
      </c>
      <c r="N48" s="356" t="str">
        <f t="shared" si="2"/>
        <v/>
      </c>
      <c r="O48" s="348">
        <v>2030</v>
      </c>
      <c r="P48" s="505"/>
      <c r="Q48" s="349">
        <f t="shared" si="4"/>
        <v>26390</v>
      </c>
      <c r="R48" s="357">
        <f t="shared" si="1"/>
        <v>0</v>
      </c>
      <c r="S48" s="357" t="str">
        <f t="shared" si="3"/>
        <v/>
      </c>
    </row>
    <row r="49" spans="2:19">
      <c r="B49" s="256" t="s">
        <v>397</v>
      </c>
      <c r="C49" s="338"/>
      <c r="D49" s="258"/>
      <c r="E49" s="258"/>
      <c r="F49" s="254">
        <v>1231230</v>
      </c>
      <c r="G49" s="255">
        <v>1399125000</v>
      </c>
      <c r="J49" s="355">
        <v>42838</v>
      </c>
      <c r="K49" s="355">
        <v>42838</v>
      </c>
      <c r="L49" s="356" t="s">
        <v>556</v>
      </c>
      <c r="M49" s="356">
        <f t="shared" si="0"/>
        <v>1</v>
      </c>
      <c r="N49" s="356" t="str">
        <f t="shared" si="2"/>
        <v/>
      </c>
      <c r="O49" s="348">
        <v>2030</v>
      </c>
      <c r="P49" s="505"/>
      <c r="Q49" s="349">
        <f t="shared" si="4"/>
        <v>26390</v>
      </c>
      <c r="R49" s="357">
        <f t="shared" si="1"/>
        <v>0</v>
      </c>
      <c r="S49" s="357" t="str">
        <f t="shared" si="3"/>
        <v/>
      </c>
    </row>
    <row r="50" spans="2:19">
      <c r="B50" s="253" t="s">
        <v>394</v>
      </c>
      <c r="C50" s="338"/>
      <c r="D50" s="258"/>
      <c r="E50" s="258"/>
      <c r="F50" s="254">
        <v>376750</v>
      </c>
      <c r="G50" s="255">
        <v>662146000</v>
      </c>
      <c r="J50" s="355">
        <v>42838</v>
      </c>
      <c r="K50" s="355">
        <v>42838</v>
      </c>
      <c r="L50" s="356" t="s">
        <v>557</v>
      </c>
      <c r="M50" s="356">
        <f t="shared" si="0"/>
        <v>1</v>
      </c>
      <c r="N50" s="356" t="str">
        <f t="shared" si="2"/>
        <v/>
      </c>
      <c r="O50" s="348">
        <v>2030</v>
      </c>
      <c r="P50" s="505"/>
      <c r="Q50" s="349">
        <f t="shared" si="4"/>
        <v>26390</v>
      </c>
      <c r="R50" s="357">
        <f t="shared" si="1"/>
        <v>0</v>
      </c>
      <c r="S50" s="357" t="str">
        <f t="shared" si="3"/>
        <v/>
      </c>
    </row>
    <row r="51" spans="2:19">
      <c r="B51" s="329" t="s">
        <v>572</v>
      </c>
      <c r="C51" s="338"/>
      <c r="D51" s="258"/>
      <c r="E51" s="258"/>
      <c r="F51" s="254">
        <v>1100000</v>
      </c>
      <c r="G51" s="258">
        <v>3975000000</v>
      </c>
      <c r="J51" s="355">
        <v>42838</v>
      </c>
      <c r="K51" s="355">
        <v>42838</v>
      </c>
      <c r="L51" s="356" t="s">
        <v>558</v>
      </c>
      <c r="M51" s="356">
        <f t="shared" si="0"/>
        <v>1</v>
      </c>
      <c r="N51" s="356" t="str">
        <f t="shared" si="2"/>
        <v/>
      </c>
      <c r="O51" s="348">
        <v>2030</v>
      </c>
      <c r="P51" s="505"/>
      <c r="Q51" s="349">
        <f t="shared" si="4"/>
        <v>26390</v>
      </c>
      <c r="R51" s="357">
        <f t="shared" si="1"/>
        <v>0</v>
      </c>
      <c r="S51" s="357" t="str">
        <f t="shared" si="3"/>
        <v/>
      </c>
    </row>
    <row r="52" spans="2:19">
      <c r="B52" s="329"/>
      <c r="C52" s="338"/>
      <c r="D52" s="258"/>
      <c r="E52" s="258"/>
      <c r="F52" s="339"/>
      <c r="G52" s="258"/>
      <c r="J52" s="355">
        <v>42839</v>
      </c>
      <c r="K52" s="355">
        <v>42845</v>
      </c>
      <c r="L52" s="356" t="s">
        <v>559</v>
      </c>
      <c r="M52" s="356">
        <f t="shared" si="0"/>
        <v>7</v>
      </c>
      <c r="N52" s="356">
        <f t="shared" si="2"/>
        <v>5</v>
      </c>
      <c r="O52" s="348">
        <v>2030</v>
      </c>
      <c r="P52" s="505"/>
      <c r="Q52" s="349">
        <f t="shared" si="4"/>
        <v>26390</v>
      </c>
      <c r="R52" s="357">
        <f t="shared" si="1"/>
        <v>20000</v>
      </c>
      <c r="S52" s="357">
        <f t="shared" si="3"/>
        <v>2639000</v>
      </c>
    </row>
    <row r="53" spans="2:19">
      <c r="B53" s="376" t="s">
        <v>57</v>
      </c>
      <c r="C53" s="377"/>
      <c r="D53" s="378"/>
      <c r="E53" s="378">
        <f>SUM(E45:E52)</f>
        <v>6473438227.999999</v>
      </c>
      <c r="F53" s="379">
        <f>SUM(F45:F52)</f>
        <v>5212680</v>
      </c>
      <c r="G53" s="378">
        <f>SUM(G45:G52)</f>
        <v>6466438600</v>
      </c>
      <c r="J53" s="355">
        <v>42839</v>
      </c>
      <c r="K53" s="355">
        <v>42845</v>
      </c>
      <c r="L53" s="356" t="s">
        <v>560</v>
      </c>
      <c r="M53" s="356">
        <f t="shared" si="0"/>
        <v>7</v>
      </c>
      <c r="N53" s="356">
        <f t="shared" si="2"/>
        <v>5</v>
      </c>
      <c r="O53" s="348">
        <v>2030</v>
      </c>
      <c r="P53" s="505"/>
      <c r="Q53" s="349">
        <f t="shared" si="4"/>
        <v>26390</v>
      </c>
      <c r="R53" s="357">
        <f t="shared" si="1"/>
        <v>20000</v>
      </c>
      <c r="S53" s="357">
        <f t="shared" si="3"/>
        <v>2639000</v>
      </c>
    </row>
    <row r="54" spans="2:19">
      <c r="J54" s="355">
        <v>42840</v>
      </c>
      <c r="K54" s="355">
        <v>42845</v>
      </c>
      <c r="L54" s="356" t="s">
        <v>561</v>
      </c>
      <c r="M54" s="356">
        <f t="shared" si="0"/>
        <v>6</v>
      </c>
      <c r="N54" s="356">
        <f t="shared" si="2"/>
        <v>4</v>
      </c>
      <c r="O54" s="348">
        <v>2030</v>
      </c>
      <c r="P54" s="505"/>
      <c r="Q54" s="349">
        <f t="shared" si="4"/>
        <v>26390</v>
      </c>
      <c r="R54" s="357">
        <f t="shared" si="1"/>
        <v>20000</v>
      </c>
      <c r="S54" s="357">
        <f t="shared" si="3"/>
        <v>2111200</v>
      </c>
    </row>
    <row r="55" spans="2:19">
      <c r="J55" s="355">
        <v>42841</v>
      </c>
      <c r="K55" s="355">
        <v>42846</v>
      </c>
      <c r="L55" s="356" t="s">
        <v>562</v>
      </c>
      <c r="M55" s="356">
        <f t="shared" si="0"/>
        <v>6</v>
      </c>
      <c r="N55" s="356">
        <f t="shared" si="2"/>
        <v>4</v>
      </c>
      <c r="O55" s="348">
        <v>2030</v>
      </c>
      <c r="P55" s="505"/>
      <c r="Q55" s="349">
        <f t="shared" si="4"/>
        <v>26390</v>
      </c>
      <c r="R55" s="357">
        <f t="shared" si="1"/>
        <v>20000</v>
      </c>
      <c r="S55" s="357">
        <f t="shared" si="3"/>
        <v>2111200</v>
      </c>
    </row>
    <row r="56" spans="2:19">
      <c r="G56" s="342">
        <f>E53-F53-G53</f>
        <v>1786947.9999990463</v>
      </c>
      <c r="J56" s="355">
        <v>42842</v>
      </c>
      <c r="K56" s="355">
        <v>42846</v>
      </c>
      <c r="L56" s="356" t="s">
        <v>571</v>
      </c>
      <c r="M56" s="356">
        <f t="shared" si="0"/>
        <v>5</v>
      </c>
      <c r="N56" s="356">
        <f t="shared" si="2"/>
        <v>3</v>
      </c>
      <c r="O56" s="348">
        <v>2030</v>
      </c>
      <c r="P56" s="505"/>
      <c r="Q56" s="349">
        <f>O56*13</f>
        <v>26390</v>
      </c>
      <c r="R56" s="357">
        <f t="shared" si="1"/>
        <v>20000</v>
      </c>
      <c r="S56" s="357">
        <f t="shared" si="3"/>
        <v>1583400</v>
      </c>
    </row>
    <row r="57" spans="2:19">
      <c r="E57" s="374"/>
      <c r="J57" s="355">
        <v>42845</v>
      </c>
      <c r="K57" s="355">
        <v>42859</v>
      </c>
      <c r="L57" s="356" t="s">
        <v>564</v>
      </c>
      <c r="M57" s="356">
        <f t="shared" si="0"/>
        <v>15</v>
      </c>
      <c r="N57" s="356">
        <f t="shared" si="2"/>
        <v>13</v>
      </c>
      <c r="O57" s="348">
        <v>2030</v>
      </c>
      <c r="P57" s="505"/>
      <c r="Q57" s="349">
        <f>O57*13</f>
        <v>26390</v>
      </c>
      <c r="R57" s="357">
        <f t="shared" si="1"/>
        <v>20000</v>
      </c>
      <c r="S57" s="357">
        <f t="shared" si="3"/>
        <v>6861400</v>
      </c>
    </row>
    <row r="58" spans="2:19">
      <c r="E58" s="375"/>
      <c r="J58" s="355">
        <v>42850</v>
      </c>
      <c r="K58" s="355">
        <v>42859</v>
      </c>
      <c r="L58" s="356" t="s">
        <v>563</v>
      </c>
      <c r="M58" s="356">
        <f t="shared" si="0"/>
        <v>10</v>
      </c>
      <c r="N58" s="356">
        <f t="shared" si="2"/>
        <v>8</v>
      </c>
      <c r="O58" s="348">
        <v>2030</v>
      </c>
      <c r="P58" s="505"/>
      <c r="Q58" s="349">
        <f>O58*13</f>
        <v>26390</v>
      </c>
      <c r="R58" s="357">
        <f t="shared" si="1"/>
        <v>20000</v>
      </c>
      <c r="S58" s="357">
        <f t="shared" si="3"/>
        <v>4222400</v>
      </c>
    </row>
    <row r="59" spans="2:19">
      <c r="J59" s="358"/>
      <c r="K59" s="358"/>
      <c r="L59" s="359"/>
      <c r="M59" s="359"/>
      <c r="N59" s="359"/>
      <c r="O59" s="361"/>
      <c r="P59" s="361"/>
      <c r="Q59" s="361"/>
      <c r="R59" s="360"/>
      <c r="S59" s="360"/>
    </row>
    <row r="60" spans="2:19">
      <c r="J60" s="362"/>
      <c r="K60" s="362"/>
      <c r="L60" s="362" t="s">
        <v>48</v>
      </c>
      <c r="M60" s="362"/>
      <c r="N60" s="362"/>
      <c r="O60" s="363">
        <f>SUM(O45:O59)</f>
        <v>28403</v>
      </c>
      <c r="P60" s="363"/>
      <c r="Q60" s="363">
        <f>SUM(Q45:Q59)</f>
        <v>369239</v>
      </c>
      <c r="R60" s="363"/>
      <c r="S60" s="364">
        <f>SUM(S45:S59)</f>
        <v>22167600</v>
      </c>
    </row>
    <row r="62" spans="2:19">
      <c r="J62" s="352" t="s">
        <v>29</v>
      </c>
      <c r="K62" s="353"/>
      <c r="L62" s="354"/>
      <c r="M62" s="353"/>
      <c r="N62" s="353"/>
      <c r="O62" s="353"/>
      <c r="P62" s="353"/>
      <c r="Q62" s="353"/>
      <c r="R62" s="353"/>
      <c r="S62" s="353"/>
    </row>
    <row r="63" spans="2:19" ht="60" customHeight="1">
      <c r="B63" s="330" t="s">
        <v>21</v>
      </c>
      <c r="C63" s="331" t="s">
        <v>50</v>
      </c>
      <c r="D63" s="332" t="s">
        <v>51</v>
      </c>
      <c r="E63" s="332" t="s">
        <v>9</v>
      </c>
      <c r="F63" s="333" t="s">
        <v>117</v>
      </c>
      <c r="G63" s="332" t="s">
        <v>52</v>
      </c>
      <c r="J63" s="330" t="s">
        <v>30</v>
      </c>
      <c r="K63" s="330" t="s">
        <v>31</v>
      </c>
      <c r="L63" s="330" t="s">
        <v>103</v>
      </c>
      <c r="M63" s="330" t="s">
        <v>32</v>
      </c>
      <c r="N63" s="330" t="s">
        <v>573</v>
      </c>
      <c r="O63" s="330" t="s">
        <v>83</v>
      </c>
      <c r="P63" s="330"/>
      <c r="Q63" s="331" t="s">
        <v>33</v>
      </c>
      <c r="R63" s="332" t="s">
        <v>106</v>
      </c>
      <c r="S63" s="332" t="s">
        <v>9</v>
      </c>
    </row>
    <row r="64" spans="2:19">
      <c r="B64" s="253" t="s">
        <v>585</v>
      </c>
      <c r="C64" s="309">
        <v>444923.4</v>
      </c>
      <c r="D64" s="255">
        <v>22600</v>
      </c>
      <c r="E64" s="255">
        <f>C64*D64</f>
        <v>10055268840</v>
      </c>
      <c r="F64" s="336"/>
      <c r="G64" s="255"/>
      <c r="J64" s="355">
        <v>42857</v>
      </c>
      <c r="K64" s="355">
        <v>42868</v>
      </c>
      <c r="L64" s="356" t="s">
        <v>565</v>
      </c>
      <c r="M64" s="356">
        <f t="shared" ref="M64:M70" si="5">IF(K64&lt;&gt;"",K64-J64+1,"")</f>
        <v>12</v>
      </c>
      <c r="N64" s="356">
        <f t="shared" ref="N64:N70" si="6">IF(AND(M64&lt;&gt;"",M64&gt;2),M64-2,"")</f>
        <v>10</v>
      </c>
      <c r="O64" s="348">
        <v>1000</v>
      </c>
      <c r="P64" s="505"/>
      <c r="Q64" s="349">
        <f t="shared" ref="Q64:Q70" si="7">O64*13</f>
        <v>13000</v>
      </c>
      <c r="R64" s="357">
        <f t="shared" ref="R64:R79" si="8">IF(AND(M64&lt;&gt;"",M64&gt;2),20000,0)</f>
        <v>20000</v>
      </c>
      <c r="S64" s="357">
        <f t="shared" ref="S64:S79" si="9">IF(AND(M64&lt;&gt;"",M64&gt;2),R64*Q64*N64/1000,"")</f>
        <v>2600000</v>
      </c>
    </row>
    <row r="65" spans="2:19">
      <c r="B65" s="253" t="s">
        <v>123</v>
      </c>
      <c r="C65" s="310"/>
      <c r="D65" s="255"/>
      <c r="E65" s="255"/>
      <c r="F65" s="254">
        <v>2504700</v>
      </c>
      <c r="G65" s="255"/>
      <c r="J65" s="355">
        <v>42857</v>
      </c>
      <c r="K65" s="355">
        <v>42868</v>
      </c>
      <c r="L65" s="356" t="s">
        <v>566</v>
      </c>
      <c r="M65" s="356">
        <f t="shared" si="5"/>
        <v>12</v>
      </c>
      <c r="N65" s="356">
        <f t="shared" si="6"/>
        <v>10</v>
      </c>
      <c r="O65" s="348">
        <v>773</v>
      </c>
      <c r="P65" s="505"/>
      <c r="Q65" s="349">
        <f t="shared" si="7"/>
        <v>10049</v>
      </c>
      <c r="R65" s="357">
        <f t="shared" si="8"/>
        <v>20000</v>
      </c>
      <c r="S65" s="357">
        <f t="shared" si="9"/>
        <v>2009800</v>
      </c>
    </row>
    <row r="66" spans="2:19">
      <c r="B66" s="253" t="s">
        <v>584</v>
      </c>
      <c r="C66" s="310"/>
      <c r="D66" s="255"/>
      <c r="E66" s="255">
        <f>G56</f>
        <v>1786947.9999990463</v>
      </c>
      <c r="F66" s="254"/>
      <c r="G66" s="255"/>
      <c r="J66" s="355">
        <v>42857</v>
      </c>
      <c r="K66" s="355">
        <v>42868</v>
      </c>
      <c r="L66" s="356" t="s">
        <v>91</v>
      </c>
      <c r="M66" s="356">
        <f t="shared" si="5"/>
        <v>12</v>
      </c>
      <c r="N66" s="356">
        <f t="shared" si="6"/>
        <v>10</v>
      </c>
      <c r="O66" s="348">
        <v>500</v>
      </c>
      <c r="P66" s="505"/>
      <c r="Q66" s="349">
        <f t="shared" si="7"/>
        <v>6500</v>
      </c>
      <c r="R66" s="357">
        <f t="shared" si="8"/>
        <v>20000</v>
      </c>
      <c r="S66" s="357">
        <f t="shared" si="9"/>
        <v>1300000</v>
      </c>
    </row>
    <row r="67" spans="2:19">
      <c r="B67" s="253" t="s">
        <v>595</v>
      </c>
      <c r="C67" s="310"/>
      <c r="D67" s="255"/>
      <c r="E67" s="255"/>
      <c r="F67" s="254"/>
      <c r="G67" s="255">
        <f>12*51000000</f>
        <v>612000000</v>
      </c>
      <c r="J67" s="355">
        <v>42857</v>
      </c>
      <c r="K67" s="355">
        <v>42868</v>
      </c>
      <c r="L67" s="356" t="s">
        <v>567</v>
      </c>
      <c r="M67" s="356">
        <f t="shared" si="5"/>
        <v>12</v>
      </c>
      <c r="N67" s="356">
        <f t="shared" si="6"/>
        <v>10</v>
      </c>
      <c r="O67" s="348">
        <f>415+35</f>
        <v>450</v>
      </c>
      <c r="P67" s="505"/>
      <c r="Q67" s="349">
        <f t="shared" si="7"/>
        <v>5850</v>
      </c>
      <c r="R67" s="357">
        <f t="shared" si="8"/>
        <v>20000</v>
      </c>
      <c r="S67" s="357">
        <f t="shared" si="9"/>
        <v>1170000</v>
      </c>
    </row>
    <row r="68" spans="2:19">
      <c r="B68" s="253" t="s">
        <v>391</v>
      </c>
      <c r="C68" s="310"/>
      <c r="D68" s="255"/>
      <c r="E68" s="255"/>
      <c r="F68" s="254"/>
      <c r="G68" s="255">
        <f>S81</f>
        <v>14622660</v>
      </c>
      <c r="J68" s="355">
        <v>42857</v>
      </c>
      <c r="K68" s="355">
        <v>42868</v>
      </c>
      <c r="L68" s="356" t="s">
        <v>98</v>
      </c>
      <c r="M68" s="356">
        <f t="shared" si="5"/>
        <v>12</v>
      </c>
      <c r="N68" s="356">
        <f t="shared" si="6"/>
        <v>10</v>
      </c>
      <c r="O68" s="348">
        <v>400</v>
      </c>
      <c r="P68" s="505"/>
      <c r="Q68" s="349">
        <f t="shared" si="7"/>
        <v>5200</v>
      </c>
      <c r="R68" s="357">
        <f t="shared" si="8"/>
        <v>20000</v>
      </c>
      <c r="S68" s="357">
        <f t="shared" si="9"/>
        <v>1040000</v>
      </c>
    </row>
    <row r="69" spans="2:19">
      <c r="B69" s="256" t="s">
        <v>394</v>
      </c>
      <c r="C69" s="338"/>
      <c r="D69" s="258"/>
      <c r="E69" s="258"/>
      <c r="F69" s="254">
        <v>2200000</v>
      </c>
      <c r="G69" s="255">
        <v>3162276000</v>
      </c>
      <c r="J69" s="355">
        <v>42857</v>
      </c>
      <c r="K69" s="355">
        <v>42868</v>
      </c>
      <c r="L69" s="356" t="s">
        <v>568</v>
      </c>
      <c r="M69" s="356">
        <f t="shared" si="5"/>
        <v>12</v>
      </c>
      <c r="N69" s="356">
        <f t="shared" si="6"/>
        <v>10</v>
      </c>
      <c r="O69" s="348">
        <v>550</v>
      </c>
      <c r="P69" s="505"/>
      <c r="Q69" s="349">
        <f t="shared" si="7"/>
        <v>7150</v>
      </c>
      <c r="R69" s="357">
        <f t="shared" si="8"/>
        <v>20000</v>
      </c>
      <c r="S69" s="357">
        <f t="shared" si="9"/>
        <v>1430000</v>
      </c>
    </row>
    <row r="70" spans="2:19">
      <c r="B70" s="329" t="s">
        <v>401</v>
      </c>
      <c r="C70" s="338"/>
      <c r="D70" s="258"/>
      <c r="E70" s="258"/>
      <c r="F70" s="254">
        <f t="shared" ref="F70:F74" si="10">G70*0.088%</f>
        <v>1207606.3999999999</v>
      </c>
      <c r="G70" s="255">
        <v>1372280000</v>
      </c>
      <c r="J70" s="355">
        <v>42857</v>
      </c>
      <c r="K70" s="355">
        <v>42868</v>
      </c>
      <c r="L70" s="356" t="s">
        <v>569</v>
      </c>
      <c r="M70" s="356">
        <f t="shared" si="5"/>
        <v>12</v>
      </c>
      <c r="N70" s="356">
        <f t="shared" si="6"/>
        <v>10</v>
      </c>
      <c r="O70" s="348">
        <f>400-13</f>
        <v>387</v>
      </c>
      <c r="P70" s="505"/>
      <c r="Q70" s="349">
        <f t="shared" si="7"/>
        <v>5031</v>
      </c>
      <c r="R70" s="357">
        <f t="shared" si="8"/>
        <v>20000</v>
      </c>
      <c r="S70" s="357">
        <f t="shared" si="9"/>
        <v>1006200</v>
      </c>
    </row>
    <row r="71" spans="2:19">
      <c r="B71" s="253" t="s">
        <v>400</v>
      </c>
      <c r="C71" s="338"/>
      <c r="D71" s="258"/>
      <c r="E71" s="258"/>
      <c r="F71" s="254">
        <f t="shared" si="10"/>
        <v>1733331.5999999999</v>
      </c>
      <c r="G71" s="255">
        <v>1969695000</v>
      </c>
      <c r="J71" s="355">
        <v>42857</v>
      </c>
      <c r="K71" s="355">
        <v>42869</v>
      </c>
      <c r="L71" s="356" t="s">
        <v>569</v>
      </c>
      <c r="M71" s="356">
        <f t="shared" ref="M71" si="11">IF(K71&lt;&gt;"",K71-J71+1,"")</f>
        <v>13</v>
      </c>
      <c r="N71" s="356">
        <f t="shared" ref="N71:N79" si="12">IF(AND(M71&lt;&gt;"",M71&gt;2),M71-2,"")</f>
        <v>11</v>
      </c>
      <c r="O71" s="371">
        <v>13</v>
      </c>
      <c r="P71" s="505"/>
      <c r="Q71" s="372">
        <f t="shared" ref="Q71" si="13">O71*13</f>
        <v>169</v>
      </c>
      <c r="R71" s="357">
        <f t="shared" si="8"/>
        <v>20000</v>
      </c>
      <c r="S71" s="357">
        <f t="shared" si="9"/>
        <v>37180</v>
      </c>
    </row>
    <row r="72" spans="2:19">
      <c r="B72" s="253" t="s">
        <v>131</v>
      </c>
      <c r="C72" s="338"/>
      <c r="D72" s="258"/>
      <c r="E72" s="258"/>
      <c r="F72" s="254">
        <f t="shared" si="10"/>
        <v>646731.79999999993</v>
      </c>
      <c r="G72" s="255">
        <v>734922500</v>
      </c>
      <c r="J72" s="355">
        <v>42857</v>
      </c>
      <c r="K72" s="355">
        <v>42869</v>
      </c>
      <c r="L72" s="356" t="s">
        <v>570</v>
      </c>
      <c r="M72" s="356">
        <f t="shared" ref="M72:M79" si="14">IF(K72&lt;&gt;"",K72-J72+1,"")</f>
        <v>13</v>
      </c>
      <c r="N72" s="356">
        <f t="shared" si="12"/>
        <v>11</v>
      </c>
      <c r="O72" s="348">
        <v>636</v>
      </c>
      <c r="P72" s="505"/>
      <c r="Q72" s="349">
        <f t="shared" ref="Q72:Q79" si="15">O72*13</f>
        <v>8268</v>
      </c>
      <c r="R72" s="357">
        <f t="shared" si="8"/>
        <v>20000</v>
      </c>
      <c r="S72" s="357">
        <f t="shared" si="9"/>
        <v>1818960</v>
      </c>
    </row>
    <row r="73" spans="2:19">
      <c r="B73" s="253" t="s">
        <v>395</v>
      </c>
      <c r="C73" s="338"/>
      <c r="D73" s="258"/>
      <c r="E73" s="258"/>
      <c r="F73" s="254">
        <f t="shared" si="10"/>
        <v>858857.99999999988</v>
      </c>
      <c r="G73" s="255">
        <v>975975000</v>
      </c>
      <c r="J73" s="355">
        <v>42865</v>
      </c>
      <c r="K73" s="355">
        <v>42869</v>
      </c>
      <c r="L73" s="356" t="s">
        <v>589</v>
      </c>
      <c r="M73" s="356">
        <f t="shared" si="14"/>
        <v>5</v>
      </c>
      <c r="N73" s="356">
        <f t="shared" si="12"/>
        <v>3</v>
      </c>
      <c r="O73" s="371">
        <v>1000</v>
      </c>
      <c r="P73" s="505"/>
      <c r="Q73" s="372">
        <f t="shared" si="15"/>
        <v>13000</v>
      </c>
      <c r="R73" s="357">
        <f t="shared" si="8"/>
        <v>20000</v>
      </c>
      <c r="S73" s="357">
        <f t="shared" si="9"/>
        <v>780000</v>
      </c>
    </row>
    <row r="74" spans="2:19">
      <c r="B74" s="253" t="s">
        <v>56</v>
      </c>
      <c r="C74" s="338"/>
      <c r="D74" s="258"/>
      <c r="E74" s="258"/>
      <c r="F74" s="254">
        <f t="shared" si="10"/>
        <v>1060461.5999999999</v>
      </c>
      <c r="G74" s="258">
        <v>1205070000</v>
      </c>
      <c r="J74" s="355">
        <v>42865</v>
      </c>
      <c r="K74" s="355">
        <v>42869</v>
      </c>
      <c r="L74" s="356" t="s">
        <v>590</v>
      </c>
      <c r="M74" s="356">
        <f t="shared" si="14"/>
        <v>5</v>
      </c>
      <c r="N74" s="356">
        <f t="shared" si="12"/>
        <v>3</v>
      </c>
      <c r="O74" s="371">
        <v>1000</v>
      </c>
      <c r="P74" s="505"/>
      <c r="Q74" s="372">
        <f t="shared" si="15"/>
        <v>13000</v>
      </c>
      <c r="R74" s="357">
        <f t="shared" si="8"/>
        <v>20000</v>
      </c>
      <c r="S74" s="357">
        <f t="shared" si="9"/>
        <v>780000</v>
      </c>
    </row>
    <row r="75" spans="2:19">
      <c r="B75" s="329"/>
      <c r="C75" s="338"/>
      <c r="D75" s="258"/>
      <c r="E75" s="258"/>
      <c r="F75" s="339"/>
      <c r="G75" s="258"/>
      <c r="J75" s="355">
        <v>42866</v>
      </c>
      <c r="K75" s="355">
        <v>42869</v>
      </c>
      <c r="L75" s="356" t="s">
        <v>586</v>
      </c>
      <c r="M75" s="356">
        <f t="shared" si="14"/>
        <v>4</v>
      </c>
      <c r="N75" s="356">
        <f t="shared" si="12"/>
        <v>2</v>
      </c>
      <c r="O75" s="371">
        <f>409+225</f>
        <v>634</v>
      </c>
      <c r="P75" s="505"/>
      <c r="Q75" s="372">
        <f t="shared" si="15"/>
        <v>8242</v>
      </c>
      <c r="R75" s="357">
        <f t="shared" si="8"/>
        <v>20000</v>
      </c>
      <c r="S75" s="357">
        <f t="shared" si="9"/>
        <v>329680</v>
      </c>
    </row>
    <row r="76" spans="2:19">
      <c r="B76" s="376" t="s">
        <v>57</v>
      </c>
      <c r="C76" s="377"/>
      <c r="D76" s="378"/>
      <c r="E76" s="378">
        <f>SUM(E64:E75)</f>
        <v>10057055788</v>
      </c>
      <c r="F76" s="379">
        <f>SUM(F64:F75)</f>
        <v>10211689.399999999</v>
      </c>
      <c r="G76" s="378">
        <f>SUM(G64:G75)</f>
        <v>10046841160</v>
      </c>
      <c r="J76" s="355">
        <v>42866</v>
      </c>
      <c r="K76" s="355">
        <v>42869</v>
      </c>
      <c r="L76" s="356" t="s">
        <v>182</v>
      </c>
      <c r="M76" s="356">
        <f t="shared" si="14"/>
        <v>4</v>
      </c>
      <c r="N76" s="356">
        <f t="shared" si="12"/>
        <v>2</v>
      </c>
      <c r="O76" s="371">
        <f>143+314</f>
        <v>457</v>
      </c>
      <c r="P76" s="505"/>
      <c r="Q76" s="372">
        <f t="shared" si="15"/>
        <v>5941</v>
      </c>
      <c r="R76" s="357">
        <f t="shared" si="8"/>
        <v>20000</v>
      </c>
      <c r="S76" s="357">
        <f t="shared" si="9"/>
        <v>237640</v>
      </c>
    </row>
    <row r="77" spans="2:19">
      <c r="J77" s="355">
        <v>42867</v>
      </c>
      <c r="K77" s="355">
        <v>42869</v>
      </c>
      <c r="L77" s="356" t="s">
        <v>592</v>
      </c>
      <c r="M77" s="356">
        <f t="shared" si="14"/>
        <v>3</v>
      </c>
      <c r="N77" s="356">
        <f t="shared" si="12"/>
        <v>1</v>
      </c>
      <c r="O77" s="371">
        <v>320</v>
      </c>
      <c r="P77" s="505"/>
      <c r="Q77" s="372">
        <f t="shared" si="15"/>
        <v>4160</v>
      </c>
      <c r="R77" s="357">
        <f t="shared" si="8"/>
        <v>20000</v>
      </c>
      <c r="S77" s="357">
        <f t="shared" si="9"/>
        <v>83200</v>
      </c>
    </row>
    <row r="78" spans="2:19">
      <c r="J78" s="355">
        <v>42868</v>
      </c>
      <c r="K78" s="355">
        <v>42869</v>
      </c>
      <c r="L78" s="356" t="s">
        <v>587</v>
      </c>
      <c r="M78" s="356">
        <f t="shared" si="14"/>
        <v>2</v>
      </c>
      <c r="N78" s="356" t="str">
        <f t="shared" si="12"/>
        <v/>
      </c>
      <c r="O78" s="371">
        <v>2030</v>
      </c>
      <c r="P78" s="505"/>
      <c r="Q78" s="372">
        <f t="shared" si="15"/>
        <v>26390</v>
      </c>
      <c r="R78" s="357">
        <f t="shared" si="8"/>
        <v>0</v>
      </c>
      <c r="S78" s="357" t="str">
        <f t="shared" si="9"/>
        <v/>
      </c>
    </row>
    <row r="79" spans="2:19">
      <c r="G79" s="342">
        <f>E76-F76-G76</f>
        <v>2938.6000003814697</v>
      </c>
      <c r="J79" s="355">
        <v>42868</v>
      </c>
      <c r="K79" s="355">
        <v>42869</v>
      </c>
      <c r="L79" s="356" t="s">
        <v>588</v>
      </c>
      <c r="M79" s="356">
        <f t="shared" si="14"/>
        <v>2</v>
      </c>
      <c r="N79" s="356" t="str">
        <f t="shared" si="12"/>
        <v/>
      </c>
      <c r="O79" s="371">
        <v>2030</v>
      </c>
      <c r="P79" s="505"/>
      <c r="Q79" s="372">
        <f t="shared" si="15"/>
        <v>26390</v>
      </c>
      <c r="R79" s="357">
        <f t="shared" si="8"/>
        <v>0</v>
      </c>
      <c r="S79" s="357" t="str">
        <f t="shared" si="9"/>
        <v/>
      </c>
    </row>
    <row r="80" spans="2:19">
      <c r="J80" s="358"/>
      <c r="K80" s="358"/>
      <c r="L80" s="359"/>
      <c r="M80" s="359"/>
      <c r="N80" s="359"/>
      <c r="O80" s="361"/>
      <c r="P80" s="361"/>
      <c r="Q80" s="361"/>
      <c r="R80" s="360"/>
      <c r="S80" s="360"/>
    </row>
    <row r="81" spans="2:19">
      <c r="J81" s="362"/>
      <c r="K81" s="362"/>
      <c r="L81" s="362" t="s">
        <v>48</v>
      </c>
      <c r="M81" s="362"/>
      <c r="N81" s="362"/>
      <c r="O81" s="363">
        <f>SUM(O64:O80)</f>
        <v>12180</v>
      </c>
      <c r="P81" s="363"/>
      <c r="Q81" s="363">
        <f>SUM(Q64:Q80)</f>
        <v>158340</v>
      </c>
      <c r="R81" s="363"/>
      <c r="S81" s="364">
        <f>SUM(S64:S80)</f>
        <v>14622660</v>
      </c>
    </row>
    <row r="83" spans="2:19">
      <c r="J83" s="352" t="s">
        <v>29</v>
      </c>
      <c r="K83" s="353"/>
      <c r="L83" s="354"/>
      <c r="M83" s="353"/>
      <c r="N83" s="353"/>
      <c r="O83" s="353"/>
      <c r="P83" s="353"/>
      <c r="Q83" s="353"/>
      <c r="R83" s="353"/>
      <c r="S83" s="353"/>
    </row>
    <row r="84" spans="2:19" ht="66" customHeight="1">
      <c r="B84" s="330" t="s">
        <v>21</v>
      </c>
      <c r="C84" s="331" t="s">
        <v>50</v>
      </c>
      <c r="D84" s="332" t="s">
        <v>51</v>
      </c>
      <c r="E84" s="332" t="s">
        <v>9</v>
      </c>
      <c r="F84" s="333" t="s">
        <v>117</v>
      </c>
      <c r="G84" s="332" t="s">
        <v>52</v>
      </c>
      <c r="J84" s="330" t="s">
        <v>30</v>
      </c>
      <c r="K84" s="330" t="s">
        <v>31</v>
      </c>
      <c r="L84" s="330" t="s">
        <v>103</v>
      </c>
      <c r="M84" s="330" t="s">
        <v>32</v>
      </c>
      <c r="N84" s="330" t="s">
        <v>573</v>
      </c>
      <c r="O84" s="330" t="s">
        <v>83</v>
      </c>
      <c r="P84" s="330"/>
      <c r="Q84" s="331" t="s">
        <v>33</v>
      </c>
      <c r="R84" s="332" t="s">
        <v>106</v>
      </c>
      <c r="S84" s="332" t="s">
        <v>9</v>
      </c>
    </row>
    <row r="85" spans="2:19">
      <c r="B85" s="253" t="s">
        <v>643</v>
      </c>
      <c r="C85" s="309">
        <v>174747.2</v>
      </c>
      <c r="D85" s="255">
        <v>22610</v>
      </c>
      <c r="E85" s="255">
        <f>C85*D85</f>
        <v>3951034192.0000005</v>
      </c>
      <c r="F85" s="336"/>
      <c r="G85" s="255"/>
      <c r="J85" s="355">
        <v>42807</v>
      </c>
      <c r="K85" s="355"/>
      <c r="L85" s="356" t="s">
        <v>551</v>
      </c>
      <c r="M85" s="356" t="str">
        <f>IF(K85&lt;&gt;"",K85-J85+1,"")</f>
        <v/>
      </c>
      <c r="N85" s="356" t="str">
        <f>IF(AND(M85&lt;&gt;"",M85&gt;2),M85-2,"")</f>
        <v/>
      </c>
      <c r="O85" s="402">
        <v>10</v>
      </c>
      <c r="P85" s="505"/>
      <c r="Q85" s="403">
        <f t="shared" ref="Q85:Q86" si="16">O85*13</f>
        <v>130</v>
      </c>
      <c r="R85" s="357">
        <f>IF(AND(M85&lt;&gt;"",M85&gt;2),20000,0)</f>
        <v>0</v>
      </c>
      <c r="S85" s="357" t="str">
        <f>IF(AND(M85&lt;&gt;"",M85&gt;2),R85*Q85*N85/1000,"")</f>
        <v/>
      </c>
    </row>
    <row r="86" spans="2:19">
      <c r="B86" s="253" t="s">
        <v>123</v>
      </c>
      <c r="C86" s="310"/>
      <c r="D86" s="255"/>
      <c r="E86" s="255"/>
      <c r="F86" s="254">
        <v>2183641</v>
      </c>
      <c r="G86" s="255"/>
      <c r="J86" s="355">
        <v>42828</v>
      </c>
      <c r="K86" s="355"/>
      <c r="L86" s="356" t="s">
        <v>551</v>
      </c>
      <c r="M86" s="356" t="str">
        <f t="shared" ref="M86" si="17">IF(K86&lt;&gt;"",K86-J86+1,"")</f>
        <v/>
      </c>
      <c r="N86" s="356" t="str">
        <f>IF(AND(M86&lt;&gt;"",M86&gt;2),M86-2,"")</f>
        <v/>
      </c>
      <c r="O86" s="402">
        <v>10</v>
      </c>
      <c r="P86" s="505"/>
      <c r="Q86" s="403">
        <f t="shared" si="16"/>
        <v>130</v>
      </c>
      <c r="R86" s="357">
        <f>IF(AND(M86&lt;&gt;"",M86&gt;2),20000,0)</f>
        <v>0</v>
      </c>
      <c r="S86" s="357" t="str">
        <f>IF(AND(M86&lt;&gt;"",M86&gt;2),R86*Q86*N86/1000,"")</f>
        <v/>
      </c>
    </row>
    <row r="87" spans="2:19">
      <c r="B87" s="253" t="s">
        <v>731</v>
      </c>
      <c r="C87" s="310"/>
      <c r="D87" s="255"/>
      <c r="E87" s="255"/>
      <c r="F87" s="254"/>
      <c r="G87" s="255">
        <f>6*51000000</f>
        <v>306000000</v>
      </c>
      <c r="J87" s="355">
        <v>42861</v>
      </c>
      <c r="K87" s="355"/>
      <c r="L87" s="356" t="s">
        <v>551</v>
      </c>
      <c r="M87" s="356" t="str">
        <f>IF(K87&lt;&gt;"",K87-J87+1,"")</f>
        <v/>
      </c>
      <c r="N87" s="356" t="str">
        <f>IF(AND(M87&lt;&gt;"",M87&gt;2),M87-2,"")</f>
        <v/>
      </c>
      <c r="O87" s="402">
        <v>10</v>
      </c>
      <c r="P87" s="505"/>
      <c r="Q87" s="403">
        <f>O87*13</f>
        <v>130</v>
      </c>
      <c r="R87" s="357">
        <f>IF(AND(M87&lt;&gt;"",M87&gt;2),20000,0)</f>
        <v>0</v>
      </c>
      <c r="S87" s="357" t="str">
        <f>IF(AND(M87&lt;&gt;"",M87&gt;2),R87*Q87*N87/1000,"")</f>
        <v/>
      </c>
    </row>
    <row r="88" spans="2:19">
      <c r="B88" s="253" t="s">
        <v>644</v>
      </c>
      <c r="C88" s="310"/>
      <c r="D88" s="255"/>
      <c r="E88" s="255"/>
      <c r="F88" s="254"/>
      <c r="G88" s="255">
        <v>3500000000</v>
      </c>
      <c r="J88" s="355"/>
      <c r="K88" s="355"/>
      <c r="L88" s="356"/>
      <c r="M88" s="356"/>
      <c r="N88" s="356"/>
      <c r="O88" s="402"/>
      <c r="P88" s="505"/>
      <c r="Q88" s="403">
        <f t="shared" ref="Q88:Q90" si="18">O88*13</f>
        <v>0</v>
      </c>
      <c r="R88" s="357">
        <f t="shared" ref="R88:R90" si="19">IF(AND(M88&lt;&gt;"",M88&gt;2),20000,0)</f>
        <v>0</v>
      </c>
      <c r="S88" s="357" t="str">
        <f t="shared" ref="S88:S90" si="20">IF(AND(M88&lt;&gt;"",M88&gt;2),R88*Q88*N88/1000,"")</f>
        <v/>
      </c>
    </row>
    <row r="89" spans="2:19">
      <c r="B89" s="256"/>
      <c r="C89" s="338"/>
      <c r="D89" s="258"/>
      <c r="E89" s="258"/>
      <c r="F89" s="254"/>
      <c r="G89" s="255"/>
      <c r="J89" s="355"/>
      <c r="K89" s="355"/>
      <c r="L89" s="356"/>
      <c r="M89" s="356"/>
      <c r="N89" s="356"/>
      <c r="O89" s="402"/>
      <c r="P89" s="505"/>
      <c r="Q89" s="403">
        <f t="shared" si="18"/>
        <v>0</v>
      </c>
      <c r="R89" s="357">
        <f t="shared" si="19"/>
        <v>0</v>
      </c>
      <c r="S89" s="357" t="str">
        <f t="shared" si="20"/>
        <v/>
      </c>
    </row>
    <row r="90" spans="2:19">
      <c r="B90" s="329"/>
      <c r="C90" s="338"/>
      <c r="D90" s="258"/>
      <c r="E90" s="258"/>
      <c r="F90" s="339"/>
      <c r="G90" s="258"/>
      <c r="J90" s="355"/>
      <c r="K90" s="355"/>
      <c r="L90" s="356"/>
      <c r="M90" s="356"/>
      <c r="N90" s="356"/>
      <c r="O90" s="402"/>
      <c r="P90" s="505"/>
      <c r="Q90" s="403">
        <f t="shared" si="18"/>
        <v>0</v>
      </c>
      <c r="R90" s="357">
        <f t="shared" si="19"/>
        <v>0</v>
      </c>
      <c r="S90" s="357" t="str">
        <f t="shared" si="20"/>
        <v/>
      </c>
    </row>
    <row r="91" spans="2:19">
      <c r="B91" s="376" t="s">
        <v>57</v>
      </c>
      <c r="C91" s="377"/>
      <c r="D91" s="378"/>
      <c r="E91" s="378">
        <f>SUM(E85:E90)</f>
        <v>3951034192.0000005</v>
      </c>
      <c r="F91" s="379">
        <f>SUM(F85:F90)</f>
        <v>2183641</v>
      </c>
      <c r="G91" s="378">
        <f>SUM(G85:G90)</f>
        <v>3806000000</v>
      </c>
      <c r="J91" s="358"/>
      <c r="K91" s="358"/>
      <c r="L91" s="359"/>
      <c r="M91" s="359"/>
      <c r="N91" s="359"/>
      <c r="O91" s="361"/>
      <c r="P91" s="361"/>
      <c r="Q91" s="361"/>
      <c r="R91" s="360"/>
      <c r="S91" s="360"/>
    </row>
    <row r="92" spans="2:19">
      <c r="J92" s="362"/>
      <c r="K92" s="362"/>
      <c r="L92" s="362" t="s">
        <v>48</v>
      </c>
      <c r="M92" s="362"/>
      <c r="N92" s="362"/>
      <c r="O92" s="363">
        <f>SUM(O85:O91)</f>
        <v>30</v>
      </c>
      <c r="P92" s="363"/>
      <c r="Q92" s="363">
        <f>SUM(Q85:Q91)</f>
        <v>390</v>
      </c>
      <c r="R92" s="363"/>
      <c r="S92" s="364">
        <f>SUM(S85:S91)</f>
        <v>0</v>
      </c>
    </row>
    <row r="93" spans="2:19">
      <c r="G93" s="342">
        <f>E91-F91-G91</f>
        <v>142850551.00000048</v>
      </c>
      <c r="J93" s="409"/>
      <c r="K93" s="409"/>
      <c r="L93" s="410"/>
      <c r="M93" s="410"/>
      <c r="N93" s="410"/>
      <c r="O93" s="411"/>
      <c r="P93" s="411"/>
      <c r="Q93" s="411"/>
      <c r="R93" s="412"/>
      <c r="S93" s="412"/>
    </row>
    <row r="94" spans="2:19">
      <c r="J94" s="409"/>
      <c r="K94" s="409"/>
      <c r="L94" s="410"/>
      <c r="M94" s="410"/>
      <c r="N94" s="410"/>
      <c r="O94" s="411"/>
      <c r="P94" s="411"/>
      <c r="Q94" s="411"/>
      <c r="R94" s="412"/>
      <c r="S94" s="412"/>
    </row>
    <row r="95" spans="2:19">
      <c r="J95" s="352" t="s">
        <v>29</v>
      </c>
      <c r="K95" s="353"/>
      <c r="L95" s="354"/>
      <c r="M95" s="353"/>
      <c r="N95" s="353"/>
      <c r="O95" s="353"/>
      <c r="P95" s="353"/>
      <c r="Q95" s="353"/>
      <c r="R95" s="353"/>
      <c r="S95" s="353"/>
    </row>
    <row r="96" spans="2:19" ht="40.5" customHeight="1">
      <c r="B96" s="330" t="s">
        <v>21</v>
      </c>
      <c r="C96" s="331" t="s">
        <v>50</v>
      </c>
      <c r="D96" s="332" t="s">
        <v>51</v>
      </c>
      <c r="E96" s="332" t="s">
        <v>9</v>
      </c>
      <c r="F96" s="333" t="s">
        <v>117</v>
      </c>
      <c r="G96" s="332" t="s">
        <v>52</v>
      </c>
      <c r="J96" s="330" t="s">
        <v>30</v>
      </c>
      <c r="K96" s="330" t="s">
        <v>31</v>
      </c>
      <c r="L96" s="330" t="s">
        <v>103</v>
      </c>
      <c r="M96" s="330" t="s">
        <v>32</v>
      </c>
      <c r="N96" s="330" t="s">
        <v>725</v>
      </c>
      <c r="O96" s="330" t="s">
        <v>83</v>
      </c>
      <c r="P96" s="330"/>
      <c r="Q96" s="331" t="s">
        <v>33</v>
      </c>
      <c r="R96" s="332" t="s">
        <v>106</v>
      </c>
      <c r="S96" s="332" t="s">
        <v>9</v>
      </c>
    </row>
    <row r="97" spans="2:19">
      <c r="B97" s="253" t="s">
        <v>680</v>
      </c>
      <c r="C97" s="309">
        <v>369448</v>
      </c>
      <c r="D97" s="255">
        <v>22610</v>
      </c>
      <c r="E97" s="255">
        <f>C97*D97</f>
        <v>8353219280</v>
      </c>
      <c r="F97" s="336"/>
      <c r="G97" s="255"/>
      <c r="J97" s="355">
        <v>42867</v>
      </c>
      <c r="K97" s="355">
        <v>42870</v>
      </c>
      <c r="L97" s="356" t="s">
        <v>592</v>
      </c>
      <c r="M97" s="356">
        <f>IF(K97&lt;&gt;"",K97-J97+1,"")</f>
        <v>4</v>
      </c>
      <c r="N97" s="356">
        <f>IF(AND(M97&lt;&gt;"",M97&gt;2),M97-2,"")</f>
        <v>2</v>
      </c>
      <c r="O97" s="402">
        <v>300</v>
      </c>
      <c r="P97" s="505"/>
      <c r="Q97" s="403">
        <f>O97*13</f>
        <v>3900</v>
      </c>
      <c r="R97" s="357">
        <f t="shared" ref="R97:R130" si="21">IF(AND(M97&lt;&gt;"",M97&gt;2),20000,0)</f>
        <v>20000</v>
      </c>
      <c r="S97" s="357">
        <f t="shared" ref="S97:S130" si="22">IF(AND(M97&lt;&gt;"",M97&gt;2),R97*Q97*N97/1000,"")</f>
        <v>156000</v>
      </c>
    </row>
    <row r="98" spans="2:19">
      <c r="B98" s="253" t="s">
        <v>123</v>
      </c>
      <c r="C98" s="310"/>
      <c r="D98" s="255"/>
      <c r="E98" s="255"/>
      <c r="F98" s="254">
        <v>2502500</v>
      </c>
      <c r="G98" s="255"/>
      <c r="J98" s="355">
        <v>42867</v>
      </c>
      <c r="K98" s="355">
        <v>42870</v>
      </c>
      <c r="L98" s="356" t="s">
        <v>591</v>
      </c>
      <c r="M98" s="356">
        <f t="shared" ref="M98" si="23">IF(K98&lt;&gt;"",K98-J98+1,"")</f>
        <v>4</v>
      </c>
      <c r="N98" s="356">
        <f t="shared" ref="N98" si="24">IF(AND(M98&lt;&gt;"",M98&gt;2),M98-2,"")</f>
        <v>2</v>
      </c>
      <c r="O98" s="402">
        <f>136+864</f>
        <v>1000</v>
      </c>
      <c r="P98" s="505"/>
      <c r="Q98" s="403">
        <f t="shared" ref="Q98" si="25">O98*13</f>
        <v>13000</v>
      </c>
      <c r="R98" s="357">
        <f t="shared" si="21"/>
        <v>20000</v>
      </c>
      <c r="S98" s="357">
        <f t="shared" si="22"/>
        <v>520000</v>
      </c>
    </row>
    <row r="99" spans="2:19">
      <c r="B99" s="253" t="s">
        <v>679</v>
      </c>
      <c r="C99" s="310"/>
      <c r="D99" s="255"/>
      <c r="E99" s="255">
        <f>G93</f>
        <v>142850551.00000048</v>
      </c>
      <c r="F99" s="254"/>
      <c r="G99" s="255"/>
      <c r="J99" s="355">
        <v>42867</v>
      </c>
      <c r="K99" s="355">
        <v>42870</v>
      </c>
      <c r="L99" s="356" t="s">
        <v>186</v>
      </c>
      <c r="M99" s="356">
        <f>IF(K99&lt;&gt;"",K99-J99+1,"")</f>
        <v>4</v>
      </c>
      <c r="N99" s="356">
        <f>IF(AND(M99&lt;&gt;"",M99&gt;2),M99-2,"")</f>
        <v>2</v>
      </c>
      <c r="O99" s="402">
        <v>630</v>
      </c>
      <c r="P99" s="505"/>
      <c r="Q99" s="403">
        <f>O99*13</f>
        <v>8190</v>
      </c>
      <c r="R99" s="357">
        <f t="shared" si="21"/>
        <v>20000</v>
      </c>
      <c r="S99" s="357">
        <f t="shared" si="22"/>
        <v>327600</v>
      </c>
    </row>
    <row r="100" spans="2:19">
      <c r="B100" s="253" t="s">
        <v>728</v>
      </c>
      <c r="C100" s="310"/>
      <c r="D100" s="255"/>
      <c r="E100" s="255">
        <v>200000000</v>
      </c>
      <c r="F100" s="254"/>
      <c r="G100" s="255"/>
      <c r="J100" s="355">
        <v>42868</v>
      </c>
      <c r="K100" s="355">
        <v>42870</v>
      </c>
      <c r="L100" s="356" t="s">
        <v>566</v>
      </c>
      <c r="M100" s="356">
        <f t="shared" ref="M100:M101" si="26">IF(K100&lt;&gt;"",K100-J100+1,"")</f>
        <v>3</v>
      </c>
      <c r="N100" s="356">
        <f t="shared" ref="N100:N101" si="27">IF(AND(M100&lt;&gt;"",M100&gt;2),M100-2,"")</f>
        <v>1</v>
      </c>
      <c r="O100" s="402">
        <v>900</v>
      </c>
      <c r="P100" s="505"/>
      <c r="Q100" s="403">
        <f t="shared" ref="Q100:Q101" si="28">O100*13</f>
        <v>11700</v>
      </c>
      <c r="R100" s="357">
        <f t="shared" si="21"/>
        <v>20000</v>
      </c>
      <c r="S100" s="357">
        <f t="shared" si="22"/>
        <v>234000</v>
      </c>
    </row>
    <row r="101" spans="2:19">
      <c r="B101" s="253" t="s">
        <v>730</v>
      </c>
      <c r="C101" s="310"/>
      <c r="D101" s="255"/>
      <c r="E101" s="255"/>
      <c r="F101" s="255">
        <f>22*51000000</f>
        <v>1122000000</v>
      </c>
      <c r="G101" s="255"/>
      <c r="J101" s="355">
        <v>42868</v>
      </c>
      <c r="K101" s="355">
        <v>42870</v>
      </c>
      <c r="L101" s="356" t="s">
        <v>593</v>
      </c>
      <c r="M101" s="356">
        <f t="shared" si="26"/>
        <v>3</v>
      </c>
      <c r="N101" s="356">
        <f t="shared" si="27"/>
        <v>1</v>
      </c>
      <c r="O101" s="402">
        <v>523</v>
      </c>
      <c r="P101" s="505"/>
      <c r="Q101" s="403">
        <f t="shared" si="28"/>
        <v>6799</v>
      </c>
      <c r="R101" s="357">
        <f t="shared" si="21"/>
        <v>20000</v>
      </c>
      <c r="S101" s="357">
        <f t="shared" si="22"/>
        <v>135980</v>
      </c>
    </row>
    <row r="102" spans="2:19">
      <c r="B102" s="253" t="s">
        <v>391</v>
      </c>
      <c r="C102" s="310"/>
      <c r="D102" s="255"/>
      <c r="E102" s="255"/>
      <c r="F102" s="255">
        <f>S140</f>
        <v>19194240</v>
      </c>
      <c r="G102" s="255"/>
      <c r="J102" s="355">
        <v>42869</v>
      </c>
      <c r="K102" s="355">
        <v>42870</v>
      </c>
      <c r="L102" s="356" t="s">
        <v>589</v>
      </c>
      <c r="M102" s="356">
        <f>IF(K102&lt;&gt;"",K102-J102+1,"")</f>
        <v>2</v>
      </c>
      <c r="N102" s="356" t="str">
        <f>IF(AND(M102&lt;&gt;"",M102&gt;2),M102-2,"")</f>
        <v/>
      </c>
      <c r="O102" s="402">
        <v>616</v>
      </c>
      <c r="P102" s="505"/>
      <c r="Q102" s="403">
        <f>O102*13</f>
        <v>8008</v>
      </c>
      <c r="R102" s="357">
        <f t="shared" si="21"/>
        <v>0</v>
      </c>
      <c r="S102" s="357" t="str">
        <f t="shared" si="22"/>
        <v/>
      </c>
    </row>
    <row r="103" spans="2:19">
      <c r="B103" s="253" t="s">
        <v>726</v>
      </c>
      <c r="C103" s="263"/>
      <c r="D103" s="258"/>
      <c r="E103" s="258"/>
      <c r="F103" s="254">
        <f>2000000*3</f>
        <v>6000000</v>
      </c>
      <c r="G103" s="255"/>
      <c r="J103" s="355">
        <v>42869</v>
      </c>
      <c r="K103" s="355">
        <v>42870</v>
      </c>
      <c r="L103" s="356" t="s">
        <v>594</v>
      </c>
      <c r="M103" s="356">
        <f>IF(K103&lt;&gt;"",K103-J103+1,"")</f>
        <v>2</v>
      </c>
      <c r="N103" s="356" t="str">
        <f>IF(AND(M103&lt;&gt;"",M103&gt;2),M103-2,"")</f>
        <v/>
      </c>
      <c r="O103" s="402">
        <v>2030</v>
      </c>
      <c r="P103" s="505"/>
      <c r="Q103" s="403">
        <f>O103*13</f>
        <v>26390</v>
      </c>
      <c r="R103" s="357">
        <f t="shared" si="21"/>
        <v>0</v>
      </c>
      <c r="S103" s="357" t="str">
        <f t="shared" si="22"/>
        <v/>
      </c>
    </row>
    <row r="104" spans="2:19">
      <c r="B104" s="253" t="s">
        <v>727</v>
      </c>
      <c r="C104" s="263"/>
      <c r="D104" s="258"/>
      <c r="E104" s="258"/>
      <c r="F104" s="254">
        <v>820000</v>
      </c>
      <c r="G104" s="255"/>
      <c r="J104" s="355">
        <v>42869</v>
      </c>
      <c r="K104" s="355">
        <v>42870</v>
      </c>
      <c r="L104" s="356" t="s">
        <v>561</v>
      </c>
      <c r="M104" s="356">
        <f>IF(K104&lt;&gt;"",K104-J104+1,"")</f>
        <v>2</v>
      </c>
      <c r="N104" s="356" t="str">
        <f>IF(AND(M104&lt;&gt;"",M104&gt;2),M104-2,"")</f>
        <v/>
      </c>
      <c r="O104" s="402">
        <v>2030</v>
      </c>
      <c r="P104" s="505"/>
      <c r="Q104" s="403">
        <f>O104*13</f>
        <v>26390</v>
      </c>
      <c r="R104" s="357">
        <f t="shared" si="21"/>
        <v>0</v>
      </c>
      <c r="S104" s="357" t="str">
        <f t="shared" si="22"/>
        <v/>
      </c>
    </row>
    <row r="105" spans="2:19">
      <c r="B105" s="256" t="s">
        <v>547</v>
      </c>
      <c r="C105" s="263"/>
      <c r="D105" s="258"/>
      <c r="E105" s="258"/>
      <c r="F105" s="254">
        <f t="shared" ref="F105" si="29">G105*0.088%</f>
        <v>2508105.5999999996</v>
      </c>
      <c r="G105" s="255">
        <v>2850120000</v>
      </c>
      <c r="J105" s="355">
        <v>42870</v>
      </c>
      <c r="K105" s="355">
        <v>42870</v>
      </c>
      <c r="L105" s="356" t="s">
        <v>681</v>
      </c>
      <c r="M105" s="356">
        <f t="shared" ref="M105" si="30">IF(K105&lt;&gt;"",K105-J105+1,"")</f>
        <v>1</v>
      </c>
      <c r="N105" s="356" t="str">
        <f t="shared" ref="N105" si="31">IF(AND(M105&lt;&gt;"",M105&gt;2),M105-2,"")</f>
        <v/>
      </c>
      <c r="O105" s="402">
        <v>91</v>
      </c>
      <c r="P105" s="505"/>
      <c r="Q105" s="403">
        <f t="shared" ref="Q105:Q130" si="32">O105*13</f>
        <v>1183</v>
      </c>
      <c r="R105" s="357">
        <f t="shared" si="21"/>
        <v>0</v>
      </c>
      <c r="S105" s="357" t="str">
        <f t="shared" si="22"/>
        <v/>
      </c>
    </row>
    <row r="106" spans="2:19">
      <c r="B106" s="253" t="s">
        <v>729</v>
      </c>
      <c r="C106" s="263"/>
      <c r="D106" s="258"/>
      <c r="E106" s="258"/>
      <c r="F106" s="254">
        <v>1100000</v>
      </c>
      <c r="G106" s="255">
        <v>4690000000</v>
      </c>
      <c r="J106" s="355">
        <v>42870</v>
      </c>
      <c r="K106" s="355">
        <v>42874</v>
      </c>
      <c r="L106" s="356" t="s">
        <v>681</v>
      </c>
      <c r="M106" s="356">
        <f t="shared" ref="M106:M108" si="33">IF(K106&lt;&gt;"",K106-J106+1,"")</f>
        <v>5</v>
      </c>
      <c r="N106" s="356">
        <f t="shared" ref="N106:N108" si="34">IF(AND(M106&lt;&gt;"",M106&gt;2),M106-2,"")</f>
        <v>3</v>
      </c>
      <c r="O106" s="402">
        <f>1997-91</f>
        <v>1906</v>
      </c>
      <c r="P106" s="505"/>
      <c r="Q106" s="403">
        <f t="shared" si="32"/>
        <v>24778</v>
      </c>
      <c r="R106" s="357">
        <f t="shared" si="21"/>
        <v>20000</v>
      </c>
      <c r="S106" s="357">
        <f t="shared" si="22"/>
        <v>1486680</v>
      </c>
    </row>
    <row r="107" spans="2:19" ht="13.5" customHeight="1">
      <c r="B107" s="253"/>
      <c r="C107" s="263"/>
      <c r="D107" s="258"/>
      <c r="E107" s="258"/>
      <c r="F107" s="254"/>
      <c r="G107" s="255"/>
      <c r="J107" s="355">
        <v>42870</v>
      </c>
      <c r="K107" s="355">
        <v>42874</v>
      </c>
      <c r="L107" s="356" t="s">
        <v>682</v>
      </c>
      <c r="M107" s="356">
        <f t="shared" si="33"/>
        <v>5</v>
      </c>
      <c r="N107" s="356">
        <f t="shared" si="34"/>
        <v>3</v>
      </c>
      <c r="O107" s="402">
        <v>2002</v>
      </c>
      <c r="P107" s="505"/>
      <c r="Q107" s="403">
        <f t="shared" si="32"/>
        <v>26026</v>
      </c>
      <c r="R107" s="357">
        <f t="shared" si="21"/>
        <v>20000</v>
      </c>
      <c r="S107" s="357">
        <f t="shared" si="22"/>
        <v>1561560</v>
      </c>
    </row>
    <row r="108" spans="2:19" ht="13.5" customHeight="1">
      <c r="B108" s="256"/>
      <c r="C108" s="338"/>
      <c r="D108" s="258"/>
      <c r="E108" s="258"/>
      <c r="F108" s="254"/>
      <c r="G108" s="255"/>
      <c r="J108" s="355">
        <v>42870</v>
      </c>
      <c r="K108" s="355">
        <v>42874</v>
      </c>
      <c r="L108" s="356" t="s">
        <v>288</v>
      </c>
      <c r="M108" s="356">
        <f t="shared" si="33"/>
        <v>5</v>
      </c>
      <c r="N108" s="356">
        <f t="shared" si="34"/>
        <v>3</v>
      </c>
      <c r="O108" s="402">
        <v>152</v>
      </c>
      <c r="P108" s="505"/>
      <c r="Q108" s="403">
        <f t="shared" si="32"/>
        <v>1976</v>
      </c>
      <c r="R108" s="357">
        <f t="shared" si="21"/>
        <v>20000</v>
      </c>
      <c r="S108" s="357">
        <f t="shared" si="22"/>
        <v>118560</v>
      </c>
    </row>
    <row r="109" spans="2:19" ht="13.5" customHeight="1">
      <c r="B109" s="329"/>
      <c r="C109" s="338"/>
      <c r="D109" s="258"/>
      <c r="E109" s="258"/>
      <c r="F109" s="339"/>
      <c r="G109" s="258"/>
      <c r="J109" s="355">
        <v>42870</v>
      </c>
      <c r="K109" s="355">
        <v>42875</v>
      </c>
      <c r="L109" s="356" t="s">
        <v>288</v>
      </c>
      <c r="M109" s="356">
        <f t="shared" ref="M109:M111" si="35">IF(K109&lt;&gt;"",K109-J109+1,"")</f>
        <v>6</v>
      </c>
      <c r="N109" s="356">
        <f t="shared" ref="N109:N111" si="36">IF(AND(M109&lt;&gt;"",M109&gt;2),M109-2,"")</f>
        <v>4</v>
      </c>
      <c r="O109" s="402">
        <f>943-O108</f>
        <v>791</v>
      </c>
      <c r="P109" s="505"/>
      <c r="Q109" s="403">
        <f t="shared" si="32"/>
        <v>10283</v>
      </c>
      <c r="R109" s="357">
        <f t="shared" si="21"/>
        <v>20000</v>
      </c>
      <c r="S109" s="357">
        <f t="shared" si="22"/>
        <v>822640</v>
      </c>
    </row>
    <row r="110" spans="2:19" ht="13.5" customHeight="1">
      <c r="B110" s="376" t="s">
        <v>57</v>
      </c>
      <c r="C110" s="377"/>
      <c r="D110" s="378"/>
      <c r="E110" s="378">
        <f>SUM(E97:E109)</f>
        <v>8696069831</v>
      </c>
      <c r="F110" s="379">
        <f>SUM(F97:F109)</f>
        <v>1154124845.5999999</v>
      </c>
      <c r="G110" s="378">
        <f>SUM(G97:G109)</f>
        <v>7540120000</v>
      </c>
      <c r="J110" s="355">
        <v>42871</v>
      </c>
      <c r="K110" s="355">
        <v>42875</v>
      </c>
      <c r="L110" s="356" t="s">
        <v>121</v>
      </c>
      <c r="M110" s="356">
        <f t="shared" si="35"/>
        <v>5</v>
      </c>
      <c r="N110" s="356">
        <f t="shared" si="36"/>
        <v>3</v>
      </c>
      <c r="O110" s="402">
        <f>83+689</f>
        <v>772</v>
      </c>
      <c r="P110" s="505"/>
      <c r="Q110" s="403">
        <f t="shared" si="32"/>
        <v>10036</v>
      </c>
      <c r="R110" s="357">
        <f t="shared" si="21"/>
        <v>20000</v>
      </c>
      <c r="S110" s="357">
        <f t="shared" si="22"/>
        <v>602160</v>
      </c>
    </row>
    <row r="111" spans="2:19" ht="13.5" customHeight="1">
      <c r="J111" s="355">
        <v>42873</v>
      </c>
      <c r="K111" s="355">
        <v>42875</v>
      </c>
      <c r="L111" s="356" t="s">
        <v>95</v>
      </c>
      <c r="M111" s="356">
        <f t="shared" si="35"/>
        <v>3</v>
      </c>
      <c r="N111" s="356">
        <f t="shared" si="36"/>
        <v>1</v>
      </c>
      <c r="O111" s="402">
        <v>467</v>
      </c>
      <c r="P111" s="505"/>
      <c r="Q111" s="403">
        <f t="shared" si="32"/>
        <v>6071</v>
      </c>
      <c r="R111" s="357">
        <f t="shared" si="21"/>
        <v>20000</v>
      </c>
      <c r="S111" s="357">
        <f t="shared" si="22"/>
        <v>121420</v>
      </c>
    </row>
    <row r="112" spans="2:19" ht="13.5" customHeight="1">
      <c r="J112" s="355">
        <v>42873</v>
      </c>
      <c r="K112" s="355">
        <v>42881</v>
      </c>
      <c r="L112" s="356" t="s">
        <v>95</v>
      </c>
      <c r="M112" s="356">
        <f t="shared" ref="M112:M113" si="37">IF(K112&lt;&gt;"",K112-J112+1,"")</f>
        <v>9</v>
      </c>
      <c r="N112" s="356">
        <f t="shared" ref="N112:N113" si="38">IF(AND(M112&lt;&gt;"",M112&gt;2),M112-2,"")</f>
        <v>7</v>
      </c>
      <c r="O112" s="402">
        <f>892-O111</f>
        <v>425</v>
      </c>
      <c r="P112" s="505"/>
      <c r="Q112" s="403">
        <f t="shared" si="32"/>
        <v>5525</v>
      </c>
      <c r="R112" s="357">
        <f t="shared" si="21"/>
        <v>20000</v>
      </c>
      <c r="S112" s="357">
        <f t="shared" si="22"/>
        <v>773500</v>
      </c>
    </row>
    <row r="113" spans="7:19" ht="13.5" customHeight="1">
      <c r="G113" s="342">
        <f>E110-F110-G110</f>
        <v>1824985.3999996185</v>
      </c>
      <c r="J113" s="355">
        <v>42874</v>
      </c>
      <c r="K113" s="355">
        <v>42879</v>
      </c>
      <c r="L113" s="356" t="s">
        <v>687</v>
      </c>
      <c r="M113" s="356">
        <f t="shared" si="37"/>
        <v>6</v>
      </c>
      <c r="N113" s="356">
        <f t="shared" si="38"/>
        <v>4</v>
      </c>
      <c r="O113" s="402">
        <v>28</v>
      </c>
      <c r="P113" s="505"/>
      <c r="Q113" s="403">
        <f t="shared" si="32"/>
        <v>364</v>
      </c>
      <c r="R113" s="357">
        <f t="shared" si="21"/>
        <v>20000</v>
      </c>
      <c r="S113" s="357">
        <f t="shared" si="22"/>
        <v>29120</v>
      </c>
    </row>
    <row r="114" spans="7:19" ht="13.5" customHeight="1">
      <c r="J114" s="355">
        <v>42874</v>
      </c>
      <c r="K114" s="355">
        <v>42881</v>
      </c>
      <c r="L114" s="356" t="s">
        <v>186</v>
      </c>
      <c r="M114" s="356">
        <f t="shared" ref="M114:M117" si="39">IF(K114&lt;&gt;"",K114-J114+1,"")</f>
        <v>8</v>
      </c>
      <c r="N114" s="356">
        <f t="shared" ref="N114:N117" si="40">IF(AND(M114&lt;&gt;"",M114&gt;2),M114-2,"")</f>
        <v>6</v>
      </c>
      <c r="O114" s="402">
        <v>248</v>
      </c>
      <c r="P114" s="505"/>
      <c r="Q114" s="403">
        <f t="shared" si="32"/>
        <v>3224</v>
      </c>
      <c r="R114" s="357">
        <f t="shared" si="21"/>
        <v>20000</v>
      </c>
      <c r="S114" s="357">
        <f t="shared" si="22"/>
        <v>386880</v>
      </c>
    </row>
    <row r="115" spans="7:19" ht="13.5" customHeight="1">
      <c r="J115" s="355">
        <v>42875</v>
      </c>
      <c r="K115" s="355">
        <v>42881</v>
      </c>
      <c r="L115" s="356" t="s">
        <v>683</v>
      </c>
      <c r="M115" s="356">
        <f t="shared" si="39"/>
        <v>7</v>
      </c>
      <c r="N115" s="356">
        <f t="shared" si="40"/>
        <v>5</v>
      </c>
      <c r="O115" s="402">
        <v>455</v>
      </c>
      <c r="P115" s="505"/>
      <c r="Q115" s="403">
        <f t="shared" si="32"/>
        <v>5915</v>
      </c>
      <c r="R115" s="357">
        <f t="shared" si="21"/>
        <v>20000</v>
      </c>
      <c r="S115" s="357">
        <f t="shared" si="22"/>
        <v>591500</v>
      </c>
    </row>
    <row r="116" spans="7:19" ht="13.5" customHeight="1">
      <c r="J116" s="355">
        <v>42875</v>
      </c>
      <c r="K116" s="355">
        <v>42881</v>
      </c>
      <c r="L116" s="356" t="s">
        <v>182</v>
      </c>
      <c r="M116" s="356">
        <f t="shared" si="39"/>
        <v>7</v>
      </c>
      <c r="N116" s="356">
        <f t="shared" si="40"/>
        <v>5</v>
      </c>
      <c r="O116" s="402">
        <v>636</v>
      </c>
      <c r="P116" s="505"/>
      <c r="Q116" s="403">
        <f t="shared" ref="Q116:Q121" si="41">O116*13</f>
        <v>8268</v>
      </c>
      <c r="R116" s="357">
        <f t="shared" ref="R116:R121" si="42">IF(AND(M116&lt;&gt;"",M116&gt;2),20000,0)</f>
        <v>20000</v>
      </c>
      <c r="S116" s="357">
        <f t="shared" ref="S116:S121" si="43">IF(AND(M116&lt;&gt;"",M116&gt;2),R116*Q116*N116/1000,"")</f>
        <v>826800</v>
      </c>
    </row>
    <row r="117" spans="7:19" ht="13.5" customHeight="1">
      <c r="J117" s="355">
        <v>42876</v>
      </c>
      <c r="K117" s="355">
        <v>42881</v>
      </c>
      <c r="L117" s="356" t="s">
        <v>684</v>
      </c>
      <c r="M117" s="356">
        <f t="shared" si="39"/>
        <v>6</v>
      </c>
      <c r="N117" s="356">
        <f t="shared" si="40"/>
        <v>4</v>
      </c>
      <c r="O117" s="402">
        <v>266</v>
      </c>
      <c r="P117" s="505"/>
      <c r="Q117" s="403">
        <f t="shared" si="41"/>
        <v>3458</v>
      </c>
      <c r="R117" s="357">
        <f t="shared" si="42"/>
        <v>20000</v>
      </c>
      <c r="S117" s="357">
        <f t="shared" si="43"/>
        <v>276640</v>
      </c>
    </row>
    <row r="118" spans="7:19" ht="13.5" customHeight="1">
      <c r="J118" s="355">
        <v>42876</v>
      </c>
      <c r="K118" s="355">
        <v>42882</v>
      </c>
      <c r="L118" s="356" t="s">
        <v>684</v>
      </c>
      <c r="M118" s="356">
        <f t="shared" ref="M118:M126" si="44">IF(K118&lt;&gt;"",K118-J118+1,"")</f>
        <v>7</v>
      </c>
      <c r="N118" s="356">
        <f t="shared" ref="N118:N126" si="45">IF(AND(M118&lt;&gt;"",M118&gt;2),M118-2,"")</f>
        <v>5</v>
      </c>
      <c r="O118" s="402">
        <f>307-O117</f>
        <v>41</v>
      </c>
      <c r="P118" s="505"/>
      <c r="Q118" s="403">
        <f t="shared" si="41"/>
        <v>533</v>
      </c>
      <c r="R118" s="357">
        <f t="shared" si="42"/>
        <v>20000</v>
      </c>
      <c r="S118" s="357">
        <f t="shared" si="43"/>
        <v>53300</v>
      </c>
    </row>
    <row r="119" spans="7:19" ht="13.5" customHeight="1">
      <c r="J119" s="355">
        <v>42876</v>
      </c>
      <c r="K119" s="355">
        <v>42882</v>
      </c>
      <c r="L119" s="356" t="s">
        <v>91</v>
      </c>
      <c r="M119" s="356">
        <f t="shared" si="44"/>
        <v>7</v>
      </c>
      <c r="N119" s="356">
        <f t="shared" si="45"/>
        <v>5</v>
      </c>
      <c r="O119" s="402">
        <v>450</v>
      </c>
      <c r="P119" s="505"/>
      <c r="Q119" s="403">
        <f t="shared" si="41"/>
        <v>5850</v>
      </c>
      <c r="R119" s="357">
        <f t="shared" si="42"/>
        <v>20000</v>
      </c>
      <c r="S119" s="357">
        <f t="shared" si="43"/>
        <v>585000</v>
      </c>
    </row>
    <row r="120" spans="7:19" ht="13.5" customHeight="1">
      <c r="J120" s="355">
        <v>42876</v>
      </c>
      <c r="K120" s="355">
        <v>42882</v>
      </c>
      <c r="L120" s="356" t="s">
        <v>186</v>
      </c>
      <c r="M120" s="356">
        <f t="shared" si="44"/>
        <v>7</v>
      </c>
      <c r="N120" s="356">
        <f t="shared" si="45"/>
        <v>5</v>
      </c>
      <c r="O120" s="402">
        <v>647</v>
      </c>
      <c r="P120" s="505"/>
      <c r="Q120" s="403">
        <f t="shared" si="41"/>
        <v>8411</v>
      </c>
      <c r="R120" s="357">
        <f t="shared" si="42"/>
        <v>20000</v>
      </c>
      <c r="S120" s="357">
        <f t="shared" si="43"/>
        <v>841100</v>
      </c>
    </row>
    <row r="121" spans="7:19" ht="13.5" customHeight="1">
      <c r="J121" s="355">
        <v>42876</v>
      </c>
      <c r="K121" s="355">
        <v>42882</v>
      </c>
      <c r="L121" s="356" t="s">
        <v>121</v>
      </c>
      <c r="M121" s="356">
        <f t="shared" si="44"/>
        <v>7</v>
      </c>
      <c r="N121" s="356">
        <f t="shared" si="45"/>
        <v>5</v>
      </c>
      <c r="O121" s="402">
        <v>603</v>
      </c>
      <c r="P121" s="505"/>
      <c r="Q121" s="403">
        <f t="shared" si="41"/>
        <v>7839</v>
      </c>
      <c r="R121" s="357">
        <f t="shared" si="42"/>
        <v>20000</v>
      </c>
      <c r="S121" s="357">
        <f t="shared" si="43"/>
        <v>783900</v>
      </c>
    </row>
    <row r="122" spans="7:19" ht="13.5" customHeight="1">
      <c r="J122" s="355">
        <v>42877</v>
      </c>
      <c r="K122" s="355">
        <v>42882</v>
      </c>
      <c r="L122" s="356" t="s">
        <v>84</v>
      </c>
      <c r="M122" s="356">
        <f t="shared" si="44"/>
        <v>6</v>
      </c>
      <c r="N122" s="356">
        <f t="shared" si="45"/>
        <v>4</v>
      </c>
      <c r="O122" s="402">
        <v>659</v>
      </c>
      <c r="P122" s="505"/>
      <c r="Q122" s="403">
        <f t="shared" si="32"/>
        <v>8567</v>
      </c>
      <c r="R122" s="357">
        <f t="shared" si="21"/>
        <v>20000</v>
      </c>
      <c r="S122" s="357">
        <f t="shared" si="22"/>
        <v>685360</v>
      </c>
    </row>
    <row r="123" spans="7:19" ht="13.5" customHeight="1">
      <c r="J123" s="355">
        <v>42877</v>
      </c>
      <c r="K123" s="355">
        <v>42882</v>
      </c>
      <c r="L123" s="356" t="s">
        <v>98</v>
      </c>
      <c r="M123" s="356">
        <f t="shared" si="44"/>
        <v>6</v>
      </c>
      <c r="N123" s="356">
        <f t="shared" si="45"/>
        <v>4</v>
      </c>
      <c r="O123" s="402">
        <v>479</v>
      </c>
      <c r="P123" s="505"/>
      <c r="Q123" s="403">
        <f t="shared" si="32"/>
        <v>6227</v>
      </c>
      <c r="R123" s="357">
        <f t="shared" si="21"/>
        <v>20000</v>
      </c>
      <c r="S123" s="357">
        <f t="shared" si="22"/>
        <v>498160</v>
      </c>
    </row>
    <row r="124" spans="7:19" ht="13.5" customHeight="1">
      <c r="J124" s="355">
        <v>42877</v>
      </c>
      <c r="K124" s="355">
        <v>42882</v>
      </c>
      <c r="L124" s="356" t="s">
        <v>120</v>
      </c>
      <c r="M124" s="356">
        <f t="shared" si="44"/>
        <v>6</v>
      </c>
      <c r="N124" s="356">
        <f t="shared" si="45"/>
        <v>4</v>
      </c>
      <c r="O124" s="402">
        <v>343</v>
      </c>
      <c r="P124" s="505"/>
      <c r="Q124" s="403">
        <f t="shared" si="32"/>
        <v>4459</v>
      </c>
      <c r="R124" s="357">
        <f t="shared" si="21"/>
        <v>20000</v>
      </c>
      <c r="S124" s="357">
        <f t="shared" si="22"/>
        <v>356720</v>
      </c>
    </row>
    <row r="125" spans="7:19" ht="13.5" customHeight="1">
      <c r="J125" s="355">
        <v>42878</v>
      </c>
      <c r="K125" s="355">
        <v>42882</v>
      </c>
      <c r="L125" s="356" t="s">
        <v>288</v>
      </c>
      <c r="M125" s="356">
        <f t="shared" si="44"/>
        <v>5</v>
      </c>
      <c r="N125" s="356">
        <f t="shared" si="45"/>
        <v>3</v>
      </c>
      <c r="O125" s="402">
        <v>633</v>
      </c>
      <c r="P125" s="505"/>
      <c r="Q125" s="403">
        <f t="shared" si="32"/>
        <v>8229</v>
      </c>
      <c r="R125" s="357">
        <f t="shared" si="21"/>
        <v>20000</v>
      </c>
      <c r="S125" s="357">
        <f t="shared" si="22"/>
        <v>493740</v>
      </c>
    </row>
    <row r="126" spans="7:19" ht="13.5" customHeight="1">
      <c r="J126" s="355">
        <v>42879</v>
      </c>
      <c r="K126" s="355">
        <v>42882</v>
      </c>
      <c r="L126" s="356" t="s">
        <v>685</v>
      </c>
      <c r="M126" s="356">
        <f t="shared" si="44"/>
        <v>4</v>
      </c>
      <c r="N126" s="356">
        <f t="shared" si="45"/>
        <v>2</v>
      </c>
      <c r="O126" s="402">
        <v>205</v>
      </c>
      <c r="P126" s="505"/>
      <c r="Q126" s="403">
        <f t="shared" si="32"/>
        <v>2665</v>
      </c>
      <c r="R126" s="357">
        <f t="shared" si="21"/>
        <v>20000</v>
      </c>
      <c r="S126" s="357">
        <f t="shared" si="22"/>
        <v>106600</v>
      </c>
    </row>
    <row r="127" spans="7:19" ht="13.5" customHeight="1">
      <c r="J127" s="355">
        <v>42887</v>
      </c>
      <c r="K127" s="355">
        <v>42887</v>
      </c>
      <c r="L127" s="356" t="s">
        <v>694</v>
      </c>
      <c r="M127" s="356">
        <f>IF(K127&lt;&gt;"",K127-J127+1,"")</f>
        <v>1</v>
      </c>
      <c r="N127" s="356" t="str">
        <f>IF(AND(M127&lt;&gt;"",M127&gt;2),M127-2,"")</f>
        <v/>
      </c>
      <c r="O127" s="402">
        <v>2030</v>
      </c>
      <c r="P127" s="505"/>
      <c r="Q127" s="403">
        <f>O127*13</f>
        <v>26390</v>
      </c>
      <c r="R127" s="357">
        <f>IF(AND(M127&lt;&gt;"",M127&gt;2),20000,0)</f>
        <v>0</v>
      </c>
      <c r="S127" s="357" t="str">
        <f>IF(AND(M127&lt;&gt;"",M127&gt;2),R127*Q127*N127/1000,"")</f>
        <v/>
      </c>
    </row>
    <row r="128" spans="7:19" ht="13.5" customHeight="1">
      <c r="J128" s="355">
        <v>42887</v>
      </c>
      <c r="K128" s="355">
        <v>42887</v>
      </c>
      <c r="L128" s="356" t="s">
        <v>695</v>
      </c>
      <c r="M128" s="356">
        <f>IF(K128&lt;&gt;"",K128-J128+1,"")</f>
        <v>1</v>
      </c>
      <c r="N128" s="356" t="str">
        <f>IF(AND(M128&lt;&gt;"",M128&gt;2),M128-2,"")</f>
        <v/>
      </c>
      <c r="O128" s="402">
        <v>2030</v>
      </c>
      <c r="P128" s="505"/>
      <c r="Q128" s="403">
        <f>O128*13</f>
        <v>26390</v>
      </c>
      <c r="R128" s="357">
        <f>IF(AND(M128&lt;&gt;"",M128&gt;2),20000,0)</f>
        <v>0</v>
      </c>
      <c r="S128" s="357" t="str">
        <f>IF(AND(M128&lt;&gt;"",M128&gt;2),R128*Q128*N128/1000,"")</f>
        <v/>
      </c>
    </row>
    <row r="129" spans="10:19" ht="13.5" customHeight="1">
      <c r="J129" s="355">
        <v>42888</v>
      </c>
      <c r="K129" s="355">
        <v>42888</v>
      </c>
      <c r="L129" s="356" t="s">
        <v>699</v>
      </c>
      <c r="M129" s="356">
        <f>IF(K129&lt;&gt;"",K129-J129+1,"")</f>
        <v>1</v>
      </c>
      <c r="N129" s="356" t="str">
        <f>IF(AND(M129&lt;&gt;"",M129&gt;2),M129-2,"")</f>
        <v/>
      </c>
      <c r="O129" s="402">
        <v>2019</v>
      </c>
      <c r="P129" s="505"/>
      <c r="Q129" s="403">
        <f>O129*13</f>
        <v>26247</v>
      </c>
      <c r="R129" s="357">
        <f>IF(AND(M129&lt;&gt;"",M129&gt;2),20000,0)</f>
        <v>0</v>
      </c>
      <c r="S129" s="357" t="str">
        <f>IF(AND(M129&lt;&gt;"",M129&gt;2),R129*Q129*N129/1000,"")</f>
        <v/>
      </c>
    </row>
    <row r="130" spans="10:19" ht="13.5" customHeight="1">
      <c r="J130" s="355">
        <v>42879</v>
      </c>
      <c r="K130" s="355">
        <v>42888</v>
      </c>
      <c r="L130" s="356" t="s">
        <v>685</v>
      </c>
      <c r="M130" s="356">
        <f t="shared" ref="M130:M135" si="46">IF(K130&lt;&gt;"",K130-J130+1,"")</f>
        <v>10</v>
      </c>
      <c r="N130" s="356">
        <f t="shared" ref="N130:N135" si="47">IF(AND(M130&lt;&gt;"",M130&gt;2),M130-2,"")</f>
        <v>8</v>
      </c>
      <c r="O130" s="402">
        <f>450-O126</f>
        <v>245</v>
      </c>
      <c r="P130" s="505"/>
      <c r="Q130" s="403">
        <f t="shared" si="32"/>
        <v>3185</v>
      </c>
      <c r="R130" s="357">
        <f t="shared" si="21"/>
        <v>20000</v>
      </c>
      <c r="S130" s="357">
        <f t="shared" si="22"/>
        <v>509600</v>
      </c>
    </row>
    <row r="131" spans="10:19" ht="13.5" customHeight="1">
      <c r="J131" s="355">
        <v>42879</v>
      </c>
      <c r="K131" s="355">
        <v>42888</v>
      </c>
      <c r="L131" s="356" t="s">
        <v>84</v>
      </c>
      <c r="M131" s="356">
        <f t="shared" si="46"/>
        <v>10</v>
      </c>
      <c r="N131" s="356">
        <f t="shared" si="47"/>
        <v>8</v>
      </c>
      <c r="O131" s="402">
        <v>500</v>
      </c>
      <c r="P131" s="505"/>
      <c r="Q131" s="403">
        <f t="shared" ref="Q131:Q138" si="48">O131*13</f>
        <v>6500</v>
      </c>
      <c r="R131" s="357">
        <f t="shared" ref="R131:R138" si="49">IF(AND(M131&lt;&gt;"",M131&gt;2),20000,0)</f>
        <v>20000</v>
      </c>
      <c r="S131" s="357">
        <f t="shared" ref="S131:S138" si="50">IF(AND(M131&lt;&gt;"",M131&gt;2),R131*Q131*N131/1000,"")</f>
        <v>1040000</v>
      </c>
    </row>
    <row r="132" spans="10:19" ht="13.5" customHeight="1">
      <c r="J132" s="355">
        <v>42879</v>
      </c>
      <c r="K132" s="355">
        <v>42888</v>
      </c>
      <c r="L132" s="356" t="s">
        <v>282</v>
      </c>
      <c r="M132" s="356">
        <f t="shared" si="46"/>
        <v>10</v>
      </c>
      <c r="N132" s="356">
        <f t="shared" si="47"/>
        <v>8</v>
      </c>
      <c r="O132" s="402">
        <v>413</v>
      </c>
      <c r="P132" s="505"/>
      <c r="Q132" s="403">
        <f t="shared" si="48"/>
        <v>5369</v>
      </c>
      <c r="R132" s="357">
        <f t="shared" si="49"/>
        <v>20000</v>
      </c>
      <c r="S132" s="357">
        <f t="shared" si="50"/>
        <v>859040</v>
      </c>
    </row>
    <row r="133" spans="10:19" ht="13.5" customHeight="1">
      <c r="J133" s="355">
        <v>42879</v>
      </c>
      <c r="K133" s="355">
        <v>42888</v>
      </c>
      <c r="L133" s="356" t="s">
        <v>686</v>
      </c>
      <c r="M133" s="356">
        <f t="shared" si="46"/>
        <v>10</v>
      </c>
      <c r="N133" s="356">
        <f t="shared" si="47"/>
        <v>8</v>
      </c>
      <c r="O133" s="402">
        <v>175</v>
      </c>
      <c r="P133" s="505"/>
      <c r="Q133" s="403">
        <f t="shared" si="48"/>
        <v>2275</v>
      </c>
      <c r="R133" s="357">
        <f t="shared" si="49"/>
        <v>20000</v>
      </c>
      <c r="S133" s="357">
        <f t="shared" si="50"/>
        <v>364000</v>
      </c>
    </row>
    <row r="134" spans="10:19" ht="13.5" customHeight="1">
      <c r="J134" s="355">
        <v>42880</v>
      </c>
      <c r="K134" s="355">
        <v>42888</v>
      </c>
      <c r="L134" s="356" t="s">
        <v>688</v>
      </c>
      <c r="M134" s="356">
        <f t="shared" si="46"/>
        <v>9</v>
      </c>
      <c r="N134" s="356">
        <f t="shared" si="47"/>
        <v>7</v>
      </c>
      <c r="O134" s="402">
        <f>76+357</f>
        <v>433</v>
      </c>
      <c r="P134" s="505"/>
      <c r="Q134" s="403">
        <f t="shared" si="48"/>
        <v>5629</v>
      </c>
      <c r="R134" s="357">
        <f t="shared" si="49"/>
        <v>20000</v>
      </c>
      <c r="S134" s="357">
        <f t="shared" si="50"/>
        <v>788060</v>
      </c>
    </row>
    <row r="135" spans="10:19" ht="13.5" customHeight="1">
      <c r="J135" s="355">
        <v>42880</v>
      </c>
      <c r="K135" s="355">
        <v>42888</v>
      </c>
      <c r="L135" s="356" t="s">
        <v>689</v>
      </c>
      <c r="M135" s="356">
        <f t="shared" si="46"/>
        <v>9</v>
      </c>
      <c r="N135" s="356">
        <f t="shared" si="47"/>
        <v>7</v>
      </c>
      <c r="O135" s="402">
        <v>275</v>
      </c>
      <c r="P135" s="505"/>
      <c r="Q135" s="403">
        <f t="shared" si="48"/>
        <v>3575</v>
      </c>
      <c r="R135" s="357">
        <f t="shared" si="49"/>
        <v>20000</v>
      </c>
      <c r="S135" s="357">
        <f t="shared" si="50"/>
        <v>500500</v>
      </c>
    </row>
    <row r="136" spans="10:19" ht="13.5" customHeight="1">
      <c r="J136" s="355">
        <v>42880</v>
      </c>
      <c r="K136" s="355">
        <v>42891</v>
      </c>
      <c r="L136" s="356" t="s">
        <v>704</v>
      </c>
      <c r="M136" s="356">
        <f t="shared" ref="M136" si="51">IF(K136&lt;&gt;"",K136-J136+1,"")</f>
        <v>12</v>
      </c>
      <c r="N136" s="356">
        <f t="shared" ref="N136:N138" si="52">IF(AND(M136&lt;&gt;"",M136&gt;2),M136-2,"")</f>
        <v>10</v>
      </c>
      <c r="O136" s="402">
        <f>286-O135</f>
        <v>11</v>
      </c>
      <c r="P136" s="505"/>
      <c r="Q136" s="403">
        <f t="shared" si="48"/>
        <v>143</v>
      </c>
      <c r="R136" s="357">
        <f t="shared" si="49"/>
        <v>20000</v>
      </c>
      <c r="S136" s="357">
        <f t="shared" si="50"/>
        <v>28600</v>
      </c>
    </row>
    <row r="137" spans="10:19" ht="13.5" customHeight="1">
      <c r="J137" s="355">
        <v>42881</v>
      </c>
      <c r="K137" s="355">
        <v>42891</v>
      </c>
      <c r="L137" s="356" t="s">
        <v>705</v>
      </c>
      <c r="M137" s="356">
        <f>IF(K137&lt;&gt;"",K137-J137+1,"")</f>
        <v>11</v>
      </c>
      <c r="N137" s="356">
        <f t="shared" si="52"/>
        <v>9</v>
      </c>
      <c r="O137" s="402">
        <v>470</v>
      </c>
      <c r="P137" s="505"/>
      <c r="Q137" s="403">
        <f t="shared" si="48"/>
        <v>6110</v>
      </c>
      <c r="R137" s="357">
        <f t="shared" si="49"/>
        <v>20000</v>
      </c>
      <c r="S137" s="357">
        <f t="shared" si="50"/>
        <v>1099800</v>
      </c>
    </row>
    <row r="138" spans="10:19" ht="13.5" customHeight="1">
      <c r="J138" s="355">
        <v>42883</v>
      </c>
      <c r="K138" s="355">
        <v>42891</v>
      </c>
      <c r="L138" s="356" t="s">
        <v>706</v>
      </c>
      <c r="M138" s="356">
        <f t="shared" ref="M138" si="53">IF(K138&lt;&gt;"",K138-J138+1,"")</f>
        <v>9</v>
      </c>
      <c r="N138" s="356">
        <f t="shared" si="52"/>
        <v>7</v>
      </c>
      <c r="O138" s="402">
        <v>346</v>
      </c>
      <c r="P138" s="505"/>
      <c r="Q138" s="403">
        <f t="shared" si="48"/>
        <v>4498</v>
      </c>
      <c r="R138" s="357">
        <f t="shared" si="49"/>
        <v>20000</v>
      </c>
      <c r="S138" s="357">
        <f t="shared" si="50"/>
        <v>629720</v>
      </c>
    </row>
    <row r="139" spans="10:19" ht="13.5" customHeight="1">
      <c r="J139" s="358"/>
      <c r="K139" s="358"/>
      <c r="L139" s="359"/>
      <c r="M139" s="359"/>
      <c r="N139" s="359"/>
      <c r="O139" s="361"/>
      <c r="P139" s="361"/>
      <c r="Q139" s="361"/>
      <c r="R139" s="360"/>
      <c r="S139" s="360"/>
    </row>
    <row r="140" spans="10:19" ht="13.5" customHeight="1">
      <c r="J140" s="414"/>
      <c r="K140" s="414"/>
      <c r="L140" s="414" t="s">
        <v>48</v>
      </c>
      <c r="M140" s="414"/>
      <c r="N140" s="414"/>
      <c r="O140" s="413">
        <f>SUM(O97:O139)</f>
        <v>29275</v>
      </c>
      <c r="P140" s="413"/>
      <c r="Q140" s="413">
        <f>SUM(Q97:Q139)</f>
        <v>380575</v>
      </c>
      <c r="R140" s="413"/>
      <c r="S140" s="415">
        <f>SUM(S97:S139)</f>
        <v>19194240</v>
      </c>
    </row>
    <row r="144" spans="10:19">
      <c r="J144" s="352" t="s">
        <v>29</v>
      </c>
      <c r="K144" s="353"/>
      <c r="L144" s="354"/>
      <c r="M144" s="353"/>
      <c r="N144" s="353"/>
      <c r="O144" s="353"/>
      <c r="P144" s="353"/>
      <c r="Q144" s="353"/>
      <c r="R144" s="353"/>
      <c r="S144" s="353"/>
    </row>
    <row r="145" spans="2:19" ht="57">
      <c r="B145" s="330" t="s">
        <v>21</v>
      </c>
      <c r="C145" s="331" t="s">
        <v>50</v>
      </c>
      <c r="D145" s="332" t="s">
        <v>51</v>
      </c>
      <c r="E145" s="332" t="s">
        <v>9</v>
      </c>
      <c r="F145" s="333" t="s">
        <v>117</v>
      </c>
      <c r="G145" s="332" t="s">
        <v>52</v>
      </c>
      <c r="J145" s="330" t="s">
        <v>30</v>
      </c>
      <c r="K145" s="330" t="s">
        <v>31</v>
      </c>
      <c r="L145" s="330" t="s">
        <v>103</v>
      </c>
      <c r="M145" s="330" t="s">
        <v>32</v>
      </c>
      <c r="N145" s="330" t="s">
        <v>573</v>
      </c>
      <c r="O145" s="330" t="s">
        <v>83</v>
      </c>
      <c r="P145" s="330"/>
      <c r="Q145" s="331" t="s">
        <v>33</v>
      </c>
      <c r="R145" s="332" t="s">
        <v>106</v>
      </c>
      <c r="S145" s="332" t="s">
        <v>9</v>
      </c>
    </row>
    <row r="146" spans="2:19">
      <c r="B146" s="253" t="s">
        <v>738</v>
      </c>
      <c r="C146" s="309">
        <v>444813.4</v>
      </c>
      <c r="D146" s="255">
        <v>22660</v>
      </c>
      <c r="E146" s="255">
        <f>C146*D146</f>
        <v>10079471644</v>
      </c>
      <c r="F146" s="336"/>
      <c r="G146" s="255"/>
      <c r="J146" s="355">
        <v>42883</v>
      </c>
      <c r="K146" s="355">
        <v>42894</v>
      </c>
      <c r="L146" s="356" t="s">
        <v>98</v>
      </c>
      <c r="M146" s="356">
        <f t="shared" ref="M146:M147" si="54">IF(K146&lt;&gt;"",K146-J146+1,"")</f>
        <v>12</v>
      </c>
      <c r="N146" s="356">
        <f t="shared" ref="N146:N147" si="55">IF(AND(M146&lt;&gt;"",M146&gt;2),M146-2,"")</f>
        <v>10</v>
      </c>
      <c r="O146" s="402">
        <v>54</v>
      </c>
      <c r="P146" s="505"/>
      <c r="Q146" s="403">
        <f>O146*13</f>
        <v>702</v>
      </c>
      <c r="R146" s="357">
        <f>IF(AND(M146&lt;&gt;"",M146&gt;2),20000,0)</f>
        <v>20000</v>
      </c>
      <c r="S146" s="357">
        <f>IF(AND(M146&lt;&gt;"",M146&gt;2),R146*Q146*N146/1000,"")</f>
        <v>140400</v>
      </c>
    </row>
    <row r="147" spans="2:19">
      <c r="B147" s="253" t="s">
        <v>742</v>
      </c>
      <c r="C147" s="310"/>
      <c r="D147" s="255"/>
      <c r="E147" s="255">
        <f>G113</f>
        <v>1824985.3999996185</v>
      </c>
      <c r="F147" s="254"/>
      <c r="G147" s="255"/>
      <c r="J147" s="355">
        <v>42883</v>
      </c>
      <c r="K147" s="355">
        <v>42894</v>
      </c>
      <c r="L147" s="356" t="s">
        <v>690</v>
      </c>
      <c r="M147" s="356">
        <f t="shared" si="54"/>
        <v>12</v>
      </c>
      <c r="N147" s="356">
        <f t="shared" si="55"/>
        <v>10</v>
      </c>
      <c r="O147" s="402">
        <v>600</v>
      </c>
      <c r="P147" s="505"/>
      <c r="Q147" s="403">
        <f>O147*13</f>
        <v>7800</v>
      </c>
      <c r="R147" s="357">
        <f>IF(AND(M147&lt;&gt;"",M147&gt;2),20000,0)</f>
        <v>20000</v>
      </c>
      <c r="S147" s="357">
        <f>IF(AND(M147&lt;&gt;"",M147&gt;2),R147*Q147*N147/1000,"")</f>
        <v>1560000</v>
      </c>
    </row>
    <row r="148" spans="2:19">
      <c r="B148" s="253" t="s">
        <v>741</v>
      </c>
      <c r="C148" s="310"/>
      <c r="D148" s="255"/>
      <c r="E148" s="255"/>
      <c r="F148" s="255">
        <f>10*51000000</f>
        <v>510000000</v>
      </c>
      <c r="G148" s="255"/>
      <c r="J148" s="355">
        <v>42884</v>
      </c>
      <c r="K148" s="355">
        <v>42894</v>
      </c>
      <c r="L148" s="356" t="s">
        <v>691</v>
      </c>
      <c r="M148" s="356">
        <f>IF(K148&lt;&gt;"",K148-J148+1,"")</f>
        <v>11</v>
      </c>
      <c r="N148" s="356">
        <f>IF(AND(M148&lt;&gt;"",M148&gt;2),M148-2,"")</f>
        <v>9</v>
      </c>
      <c r="O148" s="402">
        <f>567</f>
        <v>567</v>
      </c>
      <c r="P148" s="505"/>
      <c r="Q148" s="403">
        <f>O148*13</f>
        <v>7371</v>
      </c>
      <c r="R148" s="357">
        <f>IF(AND(M148&lt;&gt;"",M148&gt;2),20000,0)</f>
        <v>20000</v>
      </c>
      <c r="S148" s="357">
        <f>IF(AND(M148&lt;&gt;"",M148&gt;2),R148*Q148*N148/1000,"")</f>
        <v>1326780</v>
      </c>
    </row>
    <row r="149" spans="2:19">
      <c r="B149" s="253" t="s">
        <v>391</v>
      </c>
      <c r="C149" s="310"/>
      <c r="D149" s="255"/>
      <c r="E149" s="255"/>
      <c r="F149" s="255">
        <f>S167</f>
        <v>11238240</v>
      </c>
      <c r="G149" s="255"/>
      <c r="J149" s="355">
        <v>42884</v>
      </c>
      <c r="K149" s="355">
        <v>42894</v>
      </c>
      <c r="L149" s="356" t="s">
        <v>692</v>
      </c>
      <c r="M149" s="356">
        <f>IF(K149&lt;&gt;"",K149-J149+1,"")</f>
        <v>11</v>
      </c>
      <c r="N149" s="356">
        <f>IF(AND(M149&lt;&gt;"",M149&gt;2),M149-2,"")</f>
        <v>9</v>
      </c>
      <c r="O149" s="402">
        <v>315</v>
      </c>
      <c r="P149" s="505"/>
      <c r="Q149" s="403">
        <f t="shared" ref="Q149:Q159" si="56">O149*13</f>
        <v>4095</v>
      </c>
      <c r="R149" s="357">
        <f t="shared" ref="R149:R159" si="57">IF(AND(M149&lt;&gt;"",M149&gt;2),20000,0)</f>
        <v>20000</v>
      </c>
      <c r="S149" s="357">
        <f t="shared" ref="S149:S159" si="58">IF(AND(M149&lt;&gt;"",M149&gt;2),R149*Q149*N149/1000,"")</f>
        <v>737100</v>
      </c>
    </row>
    <row r="150" spans="2:19">
      <c r="B150" s="256" t="s">
        <v>743</v>
      </c>
      <c r="C150" s="263"/>
      <c r="D150" s="258"/>
      <c r="E150" s="258"/>
      <c r="F150" s="254">
        <f>10*120*D146</f>
        <v>27192000</v>
      </c>
      <c r="G150" s="255"/>
      <c r="J150" s="355">
        <v>42886</v>
      </c>
      <c r="K150" s="355">
        <v>42894</v>
      </c>
      <c r="L150" s="356" t="s">
        <v>693</v>
      </c>
      <c r="M150" s="356">
        <f>IF(K150&lt;&gt;"",K150-J150+1,"")</f>
        <v>9</v>
      </c>
      <c r="N150" s="356">
        <f>IF(AND(M150&lt;&gt;"",M150&gt;2),M150-2,"")</f>
        <v>7</v>
      </c>
      <c r="O150" s="402">
        <v>290</v>
      </c>
      <c r="P150" s="505"/>
      <c r="Q150" s="403">
        <f t="shared" si="56"/>
        <v>3770</v>
      </c>
      <c r="R150" s="357">
        <f t="shared" si="57"/>
        <v>20000</v>
      </c>
      <c r="S150" s="357">
        <f t="shared" si="58"/>
        <v>527800</v>
      </c>
    </row>
    <row r="151" spans="2:19">
      <c r="B151" s="253" t="s">
        <v>744</v>
      </c>
      <c r="C151" s="263"/>
      <c r="D151" s="258"/>
      <c r="E151" s="258"/>
      <c r="F151" s="254">
        <v>1100000</v>
      </c>
      <c r="G151" s="255">
        <v>2000000000</v>
      </c>
      <c r="J151" s="355">
        <v>42888</v>
      </c>
      <c r="K151" s="355">
        <v>42894</v>
      </c>
      <c r="L151" s="356" t="s">
        <v>696</v>
      </c>
      <c r="M151" s="356">
        <f t="shared" ref="M151:M156" si="59">IF(K151&lt;&gt;"",K151-J151+1,"")</f>
        <v>7</v>
      </c>
      <c r="N151" s="356">
        <f t="shared" ref="N151:N156" si="60">IF(AND(M151&lt;&gt;"",M151&gt;2),M151-2,"")</f>
        <v>5</v>
      </c>
      <c r="O151" s="402">
        <v>400</v>
      </c>
      <c r="P151" s="505"/>
      <c r="Q151" s="403">
        <f t="shared" si="56"/>
        <v>5200</v>
      </c>
      <c r="R151" s="357">
        <f t="shared" si="57"/>
        <v>20000</v>
      </c>
      <c r="S151" s="357">
        <f t="shared" si="58"/>
        <v>520000</v>
      </c>
    </row>
    <row r="152" spans="2:19">
      <c r="B152" s="253" t="s">
        <v>729</v>
      </c>
      <c r="C152" s="263"/>
      <c r="D152" s="258"/>
      <c r="E152" s="258"/>
      <c r="F152" s="254">
        <v>660000</v>
      </c>
      <c r="G152" s="255">
        <v>2000000000</v>
      </c>
      <c r="J152" s="355">
        <v>42888</v>
      </c>
      <c r="K152" s="355">
        <v>42894</v>
      </c>
      <c r="L152" s="356" t="s">
        <v>697</v>
      </c>
      <c r="M152" s="356">
        <f t="shared" si="59"/>
        <v>7</v>
      </c>
      <c r="N152" s="356">
        <f t="shared" si="60"/>
        <v>5</v>
      </c>
      <c r="O152" s="402">
        <v>460</v>
      </c>
      <c r="P152" s="505"/>
      <c r="Q152" s="403">
        <f t="shared" si="56"/>
        <v>5980</v>
      </c>
      <c r="R152" s="357">
        <f t="shared" si="57"/>
        <v>20000</v>
      </c>
      <c r="S152" s="357">
        <f t="shared" si="58"/>
        <v>598000</v>
      </c>
    </row>
    <row r="153" spans="2:19">
      <c r="B153" s="253" t="s">
        <v>572</v>
      </c>
      <c r="C153" s="263"/>
      <c r="D153" s="258"/>
      <c r="E153" s="258"/>
      <c r="F153" s="254">
        <v>660000</v>
      </c>
      <c r="G153" s="255">
        <v>2000000000</v>
      </c>
      <c r="J153" s="355">
        <v>42888</v>
      </c>
      <c r="K153" s="355">
        <v>42894</v>
      </c>
      <c r="L153" s="356" t="s">
        <v>698</v>
      </c>
      <c r="M153" s="356">
        <f t="shared" si="59"/>
        <v>7</v>
      </c>
      <c r="N153" s="356">
        <f t="shared" si="60"/>
        <v>5</v>
      </c>
      <c r="O153" s="402">
        <v>153</v>
      </c>
      <c r="P153" s="505"/>
      <c r="Q153" s="403">
        <f t="shared" si="56"/>
        <v>1989</v>
      </c>
      <c r="R153" s="357">
        <f t="shared" si="57"/>
        <v>20000</v>
      </c>
      <c r="S153" s="357">
        <f t="shared" si="58"/>
        <v>198900</v>
      </c>
    </row>
    <row r="154" spans="2:19">
      <c r="B154" s="256" t="s">
        <v>56</v>
      </c>
      <c r="C154" s="338"/>
      <c r="D154" s="258"/>
      <c r="E154" s="258"/>
      <c r="F154" s="254">
        <v>1500000</v>
      </c>
      <c r="G154" s="255">
        <v>3529000000</v>
      </c>
      <c r="J154" s="355">
        <v>42889</v>
      </c>
      <c r="K154" s="355">
        <v>42894</v>
      </c>
      <c r="L154" s="356" t="s">
        <v>700</v>
      </c>
      <c r="M154" s="356">
        <f t="shared" si="59"/>
        <v>6</v>
      </c>
      <c r="N154" s="356">
        <f t="shared" si="60"/>
        <v>4</v>
      </c>
      <c r="O154" s="402">
        <v>312</v>
      </c>
      <c r="P154" s="505"/>
      <c r="Q154" s="403">
        <f t="shared" si="56"/>
        <v>4056</v>
      </c>
      <c r="R154" s="357">
        <f t="shared" si="57"/>
        <v>20000</v>
      </c>
      <c r="S154" s="357">
        <f t="shared" si="58"/>
        <v>324480</v>
      </c>
    </row>
    <row r="155" spans="2:19">
      <c r="B155" s="329"/>
      <c r="C155" s="338"/>
      <c r="D155" s="258"/>
      <c r="E155" s="258"/>
      <c r="F155" s="339"/>
      <c r="G155" s="258"/>
      <c r="J155" s="355">
        <v>42891</v>
      </c>
      <c r="K155" s="355">
        <v>42894</v>
      </c>
      <c r="L155" s="356" t="s">
        <v>701</v>
      </c>
      <c r="M155" s="356">
        <f t="shared" si="59"/>
        <v>4</v>
      </c>
      <c r="N155" s="356">
        <f t="shared" si="60"/>
        <v>2</v>
      </c>
      <c r="O155" s="402">
        <v>450</v>
      </c>
      <c r="P155" s="505"/>
      <c r="Q155" s="403">
        <f t="shared" si="56"/>
        <v>5850</v>
      </c>
      <c r="R155" s="357">
        <f t="shared" si="57"/>
        <v>20000</v>
      </c>
      <c r="S155" s="357">
        <f t="shared" si="58"/>
        <v>234000</v>
      </c>
    </row>
    <row r="156" spans="2:19">
      <c r="B156" s="376" t="s">
        <v>57</v>
      </c>
      <c r="C156" s="377"/>
      <c r="D156" s="378"/>
      <c r="E156" s="378">
        <f>SUM(E146:E155)</f>
        <v>10081296629.4</v>
      </c>
      <c r="F156" s="379">
        <f>SUM(F146:F155)</f>
        <v>552350240</v>
      </c>
      <c r="G156" s="378">
        <f>SUM(G146:G155)</f>
        <v>9529000000</v>
      </c>
      <c r="J156" s="355">
        <v>42891</v>
      </c>
      <c r="K156" s="355">
        <v>42894</v>
      </c>
      <c r="L156" s="356" t="s">
        <v>691</v>
      </c>
      <c r="M156" s="356">
        <f t="shared" si="59"/>
        <v>4</v>
      </c>
      <c r="N156" s="356">
        <f t="shared" si="60"/>
        <v>2</v>
      </c>
      <c r="O156" s="402">
        <v>459</v>
      </c>
      <c r="P156" s="505"/>
      <c r="Q156" s="403">
        <f t="shared" si="56"/>
        <v>5967</v>
      </c>
      <c r="R156" s="357">
        <f t="shared" si="57"/>
        <v>20000</v>
      </c>
      <c r="S156" s="357">
        <f t="shared" si="58"/>
        <v>238680</v>
      </c>
    </row>
    <row r="157" spans="2:19">
      <c r="J157" s="355">
        <v>42891</v>
      </c>
      <c r="K157" s="355">
        <v>42902</v>
      </c>
      <c r="L157" s="356" t="s">
        <v>691</v>
      </c>
      <c r="M157" s="356">
        <f t="shared" ref="M157:M163" si="61">IF(K157&lt;&gt;"",K157-J157+1,"")</f>
        <v>12</v>
      </c>
      <c r="N157" s="356">
        <f t="shared" ref="N157:N163" si="62">IF(AND(M157&lt;&gt;"",M157&gt;2),M157-2,"")</f>
        <v>10</v>
      </c>
      <c r="O157" s="430">
        <f>13+600-O156</f>
        <v>154</v>
      </c>
      <c r="P157" s="505"/>
      <c r="Q157" s="403">
        <f t="shared" si="56"/>
        <v>2002</v>
      </c>
      <c r="R157" s="357">
        <f t="shared" si="57"/>
        <v>20000</v>
      </c>
      <c r="S157" s="357">
        <f t="shared" si="58"/>
        <v>400400</v>
      </c>
    </row>
    <row r="158" spans="2:19">
      <c r="J158" s="355">
        <v>42891</v>
      </c>
      <c r="K158" s="355">
        <v>42902</v>
      </c>
      <c r="L158" s="356" t="s">
        <v>702</v>
      </c>
      <c r="M158" s="356">
        <f t="shared" si="61"/>
        <v>12</v>
      </c>
      <c r="N158" s="356">
        <f t="shared" si="62"/>
        <v>10</v>
      </c>
      <c r="O158" s="430">
        <v>436</v>
      </c>
      <c r="P158" s="505"/>
      <c r="Q158" s="403">
        <f t="shared" si="56"/>
        <v>5668</v>
      </c>
      <c r="R158" s="357">
        <f t="shared" si="57"/>
        <v>20000</v>
      </c>
      <c r="S158" s="357">
        <f t="shared" si="58"/>
        <v>1133600</v>
      </c>
    </row>
    <row r="159" spans="2:19">
      <c r="G159" s="342">
        <f>E156-F156-G156</f>
        <v>-53610.60000038147</v>
      </c>
      <c r="J159" s="355">
        <v>42891</v>
      </c>
      <c r="K159" s="355">
        <v>42902</v>
      </c>
      <c r="L159" s="356" t="s">
        <v>703</v>
      </c>
      <c r="M159" s="356">
        <f t="shared" si="61"/>
        <v>12</v>
      </c>
      <c r="N159" s="356">
        <f t="shared" si="62"/>
        <v>10</v>
      </c>
      <c r="O159" s="430">
        <v>418</v>
      </c>
      <c r="P159" s="505"/>
      <c r="Q159" s="403">
        <f t="shared" si="56"/>
        <v>5434</v>
      </c>
      <c r="R159" s="357">
        <f t="shared" si="57"/>
        <v>20000</v>
      </c>
      <c r="S159" s="357">
        <f t="shared" si="58"/>
        <v>1086800</v>
      </c>
    </row>
    <row r="160" spans="2:19">
      <c r="J160" s="355">
        <v>42892</v>
      </c>
      <c r="K160" s="355">
        <v>42902</v>
      </c>
      <c r="L160" s="356" t="s">
        <v>739</v>
      </c>
      <c r="M160" s="356">
        <f t="shared" si="61"/>
        <v>11</v>
      </c>
      <c r="N160" s="356">
        <f t="shared" si="62"/>
        <v>9</v>
      </c>
      <c r="O160" s="430">
        <v>460</v>
      </c>
      <c r="P160" s="505"/>
      <c r="Q160" s="431">
        <f t="shared" ref="Q160:Q165" si="63">O160*13</f>
        <v>5980</v>
      </c>
      <c r="R160" s="357">
        <f t="shared" ref="R160:R165" si="64">IF(AND(M160&lt;&gt;"",M160&gt;2),20000,0)</f>
        <v>20000</v>
      </c>
      <c r="S160" s="357">
        <f t="shared" ref="S160:S165" si="65">IF(AND(M160&lt;&gt;"",M160&gt;2),R160*Q160*N160/1000,"")</f>
        <v>1076400</v>
      </c>
    </row>
    <row r="161" spans="2:19">
      <c r="J161" s="355">
        <v>42892</v>
      </c>
      <c r="K161" s="355">
        <v>42902</v>
      </c>
      <c r="L161" s="356" t="s">
        <v>126</v>
      </c>
      <c r="M161" s="356">
        <f t="shared" si="61"/>
        <v>11</v>
      </c>
      <c r="N161" s="356">
        <f t="shared" si="62"/>
        <v>9</v>
      </c>
      <c r="O161" s="430">
        <v>47</v>
      </c>
      <c r="P161" s="505"/>
      <c r="Q161" s="431">
        <f t="shared" si="63"/>
        <v>611</v>
      </c>
      <c r="R161" s="357">
        <f t="shared" si="64"/>
        <v>20000</v>
      </c>
      <c r="S161" s="357">
        <f t="shared" si="65"/>
        <v>109980</v>
      </c>
    </row>
    <row r="162" spans="2:19">
      <c r="J162" s="355">
        <v>42893</v>
      </c>
      <c r="K162" s="355">
        <v>42902</v>
      </c>
      <c r="L162" s="356" t="s">
        <v>740</v>
      </c>
      <c r="M162" s="356">
        <f t="shared" si="61"/>
        <v>10</v>
      </c>
      <c r="N162" s="356">
        <f t="shared" si="62"/>
        <v>8</v>
      </c>
      <c r="O162" s="430">
        <v>426</v>
      </c>
      <c r="P162" s="505"/>
      <c r="Q162" s="431">
        <f t="shared" si="63"/>
        <v>5538</v>
      </c>
      <c r="R162" s="357">
        <f t="shared" si="64"/>
        <v>20000</v>
      </c>
      <c r="S162" s="357">
        <f t="shared" si="65"/>
        <v>886080</v>
      </c>
    </row>
    <row r="163" spans="2:19">
      <c r="J163" s="355">
        <v>42895</v>
      </c>
      <c r="K163" s="355">
        <v>42902</v>
      </c>
      <c r="L163" s="356" t="s">
        <v>686</v>
      </c>
      <c r="M163" s="356">
        <f t="shared" si="61"/>
        <v>8</v>
      </c>
      <c r="N163" s="356">
        <f t="shared" si="62"/>
        <v>6</v>
      </c>
      <c r="O163" s="430">
        <v>89</v>
      </c>
      <c r="P163" s="505"/>
      <c r="Q163" s="431">
        <f t="shared" si="63"/>
        <v>1157</v>
      </c>
      <c r="R163" s="357">
        <f t="shared" si="64"/>
        <v>20000</v>
      </c>
      <c r="S163" s="357">
        <f t="shared" si="65"/>
        <v>138840</v>
      </c>
    </row>
    <row r="164" spans="2:19">
      <c r="J164" s="355">
        <v>42895</v>
      </c>
      <c r="K164" s="355"/>
      <c r="L164" s="356" t="s">
        <v>686</v>
      </c>
      <c r="M164" s="356" t="str">
        <f t="shared" ref="M164:M165" si="66">IF(K164&lt;&gt;"",K164-J164+1,"")</f>
        <v/>
      </c>
      <c r="N164" s="356" t="str">
        <f t="shared" ref="N164:N165" si="67">IF(AND(M164&lt;&gt;"",M164&gt;2),M164-2,"")</f>
        <v/>
      </c>
      <c r="O164" s="430">
        <f>240-O163</f>
        <v>151</v>
      </c>
      <c r="P164" s="505"/>
      <c r="Q164" s="431">
        <f t="shared" si="63"/>
        <v>1963</v>
      </c>
      <c r="R164" s="357">
        <f t="shared" si="64"/>
        <v>0</v>
      </c>
      <c r="S164" s="357" t="str">
        <f t="shared" si="65"/>
        <v/>
      </c>
    </row>
    <row r="165" spans="2:19">
      <c r="J165" s="355">
        <v>42897</v>
      </c>
      <c r="K165" s="355"/>
      <c r="L165" s="356" t="s">
        <v>567</v>
      </c>
      <c r="M165" s="356" t="str">
        <f t="shared" si="66"/>
        <v/>
      </c>
      <c r="N165" s="356" t="str">
        <f t="shared" si="67"/>
        <v/>
      </c>
      <c r="O165" s="430">
        <v>450</v>
      </c>
      <c r="P165" s="505"/>
      <c r="Q165" s="431">
        <f t="shared" si="63"/>
        <v>5850</v>
      </c>
      <c r="R165" s="357">
        <f t="shared" si="64"/>
        <v>0</v>
      </c>
      <c r="S165" s="357" t="str">
        <f t="shared" si="65"/>
        <v/>
      </c>
    </row>
    <row r="166" spans="2:19">
      <c r="J166" s="358"/>
      <c r="K166" s="358"/>
      <c r="L166" s="359"/>
      <c r="M166" s="359"/>
      <c r="N166" s="359"/>
      <c r="O166" s="361"/>
      <c r="P166" s="361"/>
      <c r="Q166" s="361"/>
      <c r="R166" s="360"/>
      <c r="S166" s="360"/>
    </row>
    <row r="167" spans="2:19">
      <c r="J167" s="414"/>
      <c r="K167" s="414"/>
      <c r="L167" s="414" t="s">
        <v>48</v>
      </c>
      <c r="M167" s="414"/>
      <c r="N167" s="414"/>
      <c r="O167" s="413">
        <f>SUM(O146:O166)</f>
        <v>6691</v>
      </c>
      <c r="P167" s="413"/>
      <c r="Q167" s="413">
        <f>SUM(Q146:Q166)</f>
        <v>86983</v>
      </c>
      <c r="R167" s="413"/>
      <c r="S167" s="415">
        <f>SUM(S146:S166)</f>
        <v>11238240</v>
      </c>
    </row>
    <row r="172" spans="2:19" ht="42.75">
      <c r="B172" s="330" t="s">
        <v>21</v>
      </c>
      <c r="C172" s="331" t="s">
        <v>50</v>
      </c>
      <c r="D172" s="332" t="s">
        <v>51</v>
      </c>
      <c r="E172" s="332" t="s">
        <v>9</v>
      </c>
      <c r="F172" s="333" t="s">
        <v>117</v>
      </c>
      <c r="G172" s="332" t="s">
        <v>52</v>
      </c>
    </row>
    <row r="173" spans="2:19">
      <c r="B173" s="253" t="s">
        <v>746</v>
      </c>
      <c r="C173" s="309">
        <v>443340</v>
      </c>
      <c r="D173" s="255">
        <v>22655</v>
      </c>
      <c r="E173" s="255">
        <f>C173*D173</f>
        <v>10043867700</v>
      </c>
      <c r="F173" s="336"/>
      <c r="G173" s="255"/>
    </row>
    <row r="174" spans="2:19">
      <c r="B174" s="253" t="s">
        <v>123</v>
      </c>
      <c r="C174" s="310"/>
      <c r="D174" s="255"/>
      <c r="E174" s="255"/>
      <c r="F174" s="254">
        <v>2505800</v>
      </c>
      <c r="G174" s="255"/>
    </row>
    <row r="175" spans="2:19">
      <c r="B175" s="253" t="s">
        <v>747</v>
      </c>
      <c r="C175" s="310"/>
      <c r="D175" s="255"/>
      <c r="E175" s="255"/>
      <c r="F175" s="254">
        <v>500000000</v>
      </c>
      <c r="G175" s="255"/>
    </row>
    <row r="176" spans="2:19">
      <c r="B176" s="253" t="s">
        <v>406</v>
      </c>
      <c r="C176" s="310"/>
      <c r="D176" s="255"/>
      <c r="E176" s="255"/>
      <c r="F176" s="255">
        <f>1100000</f>
        <v>1100000</v>
      </c>
      <c r="G176" s="255">
        <v>1041040000</v>
      </c>
    </row>
    <row r="177" spans="2:7">
      <c r="B177" s="256" t="s">
        <v>547</v>
      </c>
      <c r="C177" s="310"/>
      <c r="D177" s="255"/>
      <c r="E177" s="255"/>
      <c r="F177" s="255">
        <f>G177*0.09%</f>
        <v>3769459.1999999997</v>
      </c>
      <c r="G177" s="255">
        <v>4188288000</v>
      </c>
    </row>
    <row r="178" spans="2:7">
      <c r="B178" s="253" t="s">
        <v>572</v>
      </c>
      <c r="C178" s="263"/>
      <c r="D178" s="258"/>
      <c r="E178" s="258"/>
      <c r="F178" s="255">
        <f t="shared" ref="F178" si="68">1100000</f>
        <v>1100000</v>
      </c>
      <c r="G178" s="255">
        <v>2000000000</v>
      </c>
    </row>
    <row r="179" spans="2:7">
      <c r="B179" s="256" t="s">
        <v>56</v>
      </c>
      <c r="C179" s="263"/>
      <c r="D179" s="258"/>
      <c r="E179" s="258"/>
      <c r="F179" s="254">
        <v>1100000</v>
      </c>
      <c r="G179" s="255">
        <v>2309400000</v>
      </c>
    </row>
    <row r="180" spans="2:7">
      <c r="B180" s="329"/>
      <c r="C180" s="338"/>
      <c r="D180" s="258"/>
      <c r="E180" s="258"/>
      <c r="F180" s="339"/>
      <c r="G180" s="258"/>
    </row>
    <row r="181" spans="2:7">
      <c r="B181" s="376" t="s">
        <v>57</v>
      </c>
      <c r="C181" s="377"/>
      <c r="D181" s="378"/>
      <c r="E181" s="378">
        <f>SUM(E173:E180)</f>
        <v>10043867700</v>
      </c>
      <c r="F181" s="379">
        <f>SUM(F173:F180)</f>
        <v>509575259.19999999</v>
      </c>
      <c r="G181" s="378">
        <f>SUM(G173:G180)</f>
        <v>9538728000</v>
      </c>
    </row>
    <row r="184" spans="2:7">
      <c r="G184" s="342">
        <f>E181-F181-G181</f>
        <v>-4435559.2000007629</v>
      </c>
    </row>
    <row r="188" spans="2:7" ht="42.75">
      <c r="B188" s="330" t="s">
        <v>21</v>
      </c>
      <c r="C188" s="331" t="s">
        <v>50</v>
      </c>
      <c r="D188" s="332" t="s">
        <v>51</v>
      </c>
      <c r="E188" s="332" t="s">
        <v>9</v>
      </c>
      <c r="F188" s="333" t="s">
        <v>117</v>
      </c>
      <c r="G188" s="332" t="s">
        <v>52</v>
      </c>
    </row>
    <row r="189" spans="2:7">
      <c r="B189" s="253" t="s">
        <v>775</v>
      </c>
      <c r="C189" s="309">
        <v>419583.91</v>
      </c>
      <c r="D189" s="255">
        <v>22660</v>
      </c>
      <c r="E189" s="255">
        <f>C189*D189</f>
        <v>9507771400.5999985</v>
      </c>
      <c r="F189" s="336"/>
      <c r="G189" s="255"/>
    </row>
    <row r="190" spans="2:7">
      <c r="B190" s="253" t="s">
        <v>123</v>
      </c>
      <c r="C190" s="310"/>
      <c r="D190" s="255"/>
      <c r="E190" s="255"/>
      <c r="F190" s="254">
        <v>2504700</v>
      </c>
      <c r="G190" s="255"/>
    </row>
    <row r="191" spans="2:7">
      <c r="B191" s="253" t="s">
        <v>748</v>
      </c>
      <c r="C191" s="310"/>
      <c r="D191" s="255"/>
      <c r="E191" s="255"/>
      <c r="F191" s="254">
        <f>-G184</f>
        <v>4435559.2000007629</v>
      </c>
      <c r="G191" s="255"/>
    </row>
    <row r="192" spans="2:7">
      <c r="B192" s="253" t="s">
        <v>572</v>
      </c>
      <c r="C192" s="310"/>
      <c r="D192" s="255"/>
      <c r="E192" s="255"/>
      <c r="F192" s="255">
        <v>1100000</v>
      </c>
      <c r="G192" s="255">
        <v>2000000000</v>
      </c>
    </row>
    <row r="193" spans="2:19">
      <c r="B193" s="256" t="s">
        <v>547</v>
      </c>
      <c r="C193" s="310"/>
      <c r="D193" s="255"/>
      <c r="E193" s="255"/>
      <c r="F193" s="255">
        <v>1100000</v>
      </c>
      <c r="G193" s="255">
        <v>2784145000</v>
      </c>
    </row>
    <row r="194" spans="2:19">
      <c r="B194" s="256" t="s">
        <v>152</v>
      </c>
      <c r="C194" s="263"/>
      <c r="D194" s="258"/>
      <c r="E194" s="258"/>
      <c r="F194" s="255">
        <v>1100000</v>
      </c>
      <c r="G194" s="255">
        <v>1727752000</v>
      </c>
      <c r="L194" s="342"/>
    </row>
    <row r="195" spans="2:19">
      <c r="B195" s="256" t="s">
        <v>56</v>
      </c>
      <c r="C195" s="263"/>
      <c r="D195" s="258"/>
      <c r="E195" s="258"/>
      <c r="F195" s="255">
        <v>1100000</v>
      </c>
      <c r="G195" s="255">
        <v>2984500000</v>
      </c>
    </row>
    <row r="196" spans="2:19">
      <c r="B196" s="329"/>
      <c r="C196" s="338"/>
      <c r="D196" s="258"/>
      <c r="E196" s="258"/>
      <c r="F196" s="339"/>
      <c r="G196" s="258"/>
    </row>
    <row r="197" spans="2:19">
      <c r="B197" s="376" t="s">
        <v>57</v>
      </c>
      <c r="C197" s="377"/>
      <c r="D197" s="378"/>
      <c r="E197" s="378">
        <f>SUM(E189:E196)</f>
        <v>9507771400.5999985</v>
      </c>
      <c r="F197" s="379">
        <f>SUM(F189:F196)</f>
        <v>11340259.200000763</v>
      </c>
      <c r="G197" s="378">
        <f>SUM(G189:G196)</f>
        <v>9496397000</v>
      </c>
    </row>
    <row r="199" spans="2:19" ht="15.75">
      <c r="B199" s="162" t="s">
        <v>749</v>
      </c>
    </row>
    <row r="200" spans="2:19">
      <c r="G200" s="342">
        <f>E197-F197-G197</f>
        <v>34141.399997711182</v>
      </c>
    </row>
    <row r="204" spans="2:19">
      <c r="J204" s="352" t="s">
        <v>29</v>
      </c>
      <c r="K204" s="353"/>
      <c r="L204" s="354"/>
      <c r="M204" s="353"/>
      <c r="N204" s="353"/>
      <c r="O204" s="353"/>
      <c r="P204" s="353"/>
      <c r="Q204" s="353"/>
      <c r="R204" s="353"/>
      <c r="S204" s="353"/>
    </row>
    <row r="205" spans="2:19" ht="57">
      <c r="B205" s="330" t="s">
        <v>21</v>
      </c>
      <c r="C205" s="331" t="s">
        <v>50</v>
      </c>
      <c r="D205" s="332" t="s">
        <v>51</v>
      </c>
      <c r="E205" s="332" t="s">
        <v>9</v>
      </c>
      <c r="F205" s="333" t="s">
        <v>117</v>
      </c>
      <c r="G205" s="332" t="s">
        <v>52</v>
      </c>
      <c r="J205" s="330" t="s">
        <v>30</v>
      </c>
      <c r="K205" s="330" t="s">
        <v>31</v>
      </c>
      <c r="L205" s="330" t="s">
        <v>103</v>
      </c>
      <c r="M205" s="330" t="s">
        <v>32</v>
      </c>
      <c r="N205" s="330" t="s">
        <v>573</v>
      </c>
      <c r="O205" s="330" t="s">
        <v>83</v>
      </c>
      <c r="P205" s="330"/>
      <c r="Q205" s="331" t="s">
        <v>33</v>
      </c>
      <c r="R205" s="332" t="s">
        <v>106</v>
      </c>
      <c r="S205" s="332" t="s">
        <v>9</v>
      </c>
    </row>
    <row r="206" spans="2:19">
      <c r="B206" s="253" t="s">
        <v>776</v>
      </c>
      <c r="C206" s="309">
        <v>419584.02</v>
      </c>
      <c r="D206" s="255">
        <v>22660</v>
      </c>
      <c r="E206" s="255">
        <f>C206*D206</f>
        <v>9507773893.2000008</v>
      </c>
      <c r="F206" s="336"/>
      <c r="G206" s="255"/>
      <c r="J206" s="355">
        <v>42910</v>
      </c>
      <c r="K206" s="355">
        <v>42915</v>
      </c>
      <c r="L206" s="356" t="s">
        <v>779</v>
      </c>
      <c r="M206" s="356">
        <f t="shared" ref="M206:M208" si="69">IF(K206&lt;&gt;"",K206-J206+1,"")</f>
        <v>6</v>
      </c>
      <c r="N206" s="356">
        <f t="shared" ref="N206:N208" si="70">IF(AND(M206&lt;&gt;"",M206&gt;2),M206-2,"")</f>
        <v>4</v>
      </c>
      <c r="O206" s="474">
        <v>2030</v>
      </c>
      <c r="P206" s="505"/>
      <c r="Q206" s="475">
        <f>O206*13</f>
        <v>26390</v>
      </c>
      <c r="R206" s="357">
        <f>IF(AND(M206&lt;&gt;"",M206&gt;2),20000,0)</f>
        <v>20000</v>
      </c>
      <c r="S206" s="357">
        <f>IF(AND(M206&lt;&gt;"",M206&gt;2),R206*Q206*N206/1000,"")</f>
        <v>2111200</v>
      </c>
    </row>
    <row r="207" spans="2:19">
      <c r="B207" s="253" t="s">
        <v>123</v>
      </c>
      <c r="C207" s="310"/>
      <c r="D207" s="255"/>
      <c r="E207" s="255"/>
      <c r="F207" s="254">
        <v>2504700</v>
      </c>
      <c r="G207" s="255"/>
      <c r="J207" s="355">
        <v>42911</v>
      </c>
      <c r="K207" s="355">
        <v>42915</v>
      </c>
      <c r="L207" s="356" t="s">
        <v>780</v>
      </c>
      <c r="M207" s="356">
        <f t="shared" si="69"/>
        <v>5</v>
      </c>
      <c r="N207" s="356">
        <f t="shared" si="70"/>
        <v>3</v>
      </c>
      <c r="O207" s="474">
        <f>1820+161</f>
        <v>1981</v>
      </c>
      <c r="P207" s="505"/>
      <c r="Q207" s="475">
        <f t="shared" ref="Q207:Q227" si="71">O207*13</f>
        <v>25753</v>
      </c>
      <c r="R207" s="357">
        <f t="shared" ref="R207:R225" si="72">IF(AND(M207&lt;&gt;"",M207&gt;2),20000,0)</f>
        <v>20000</v>
      </c>
      <c r="S207" s="357">
        <f>IF(AND(M207&lt;&gt;"",M207&gt;2),R207*Q207*N207/1000,"")</f>
        <v>1545180</v>
      </c>
    </row>
    <row r="208" spans="2:19">
      <c r="B208" s="253" t="s">
        <v>777</v>
      </c>
      <c r="C208" s="310"/>
      <c r="D208" s="255"/>
      <c r="E208" s="255"/>
      <c r="F208" s="255">
        <f>10*51000000</f>
        <v>510000000</v>
      </c>
      <c r="G208" s="255"/>
      <c r="J208" s="355">
        <v>42895</v>
      </c>
      <c r="K208" s="355">
        <v>42915</v>
      </c>
      <c r="L208" s="356" t="s">
        <v>686</v>
      </c>
      <c r="M208" s="356">
        <f t="shared" si="69"/>
        <v>21</v>
      </c>
      <c r="N208" s="356">
        <f t="shared" si="70"/>
        <v>19</v>
      </c>
      <c r="O208" s="474">
        <v>49</v>
      </c>
      <c r="P208" s="505"/>
      <c r="Q208" s="475">
        <f t="shared" si="71"/>
        <v>637</v>
      </c>
      <c r="R208" s="357">
        <f t="shared" si="72"/>
        <v>20000</v>
      </c>
      <c r="S208" s="357">
        <f>IF(AND(M208&lt;&gt;"",M208&gt;2),R208*Q208*N208/1000,"")</f>
        <v>242060</v>
      </c>
    </row>
    <row r="209" spans="2:19">
      <c r="B209" s="253" t="s">
        <v>391</v>
      </c>
      <c r="C209" s="310"/>
      <c r="D209" s="255"/>
      <c r="E209" s="255"/>
      <c r="F209" s="255">
        <f>S229</f>
        <v>19807580</v>
      </c>
      <c r="G209" s="255"/>
      <c r="J209" s="355">
        <v>42895</v>
      </c>
      <c r="K209" s="355">
        <v>42916</v>
      </c>
      <c r="L209" s="356" t="s">
        <v>686</v>
      </c>
      <c r="M209" s="356">
        <f t="shared" ref="M209:M210" si="73">IF(K209&lt;&gt;"",K209-J209+1,"")</f>
        <v>22</v>
      </c>
      <c r="N209" s="356">
        <f t="shared" ref="N209:N210" si="74">IF(AND(M209&lt;&gt;"",M209&gt;2),M209-2,"")</f>
        <v>20</v>
      </c>
      <c r="O209" s="474">
        <f>151-O208</f>
        <v>102</v>
      </c>
      <c r="P209" s="505"/>
      <c r="Q209" s="475">
        <f t="shared" si="71"/>
        <v>1326</v>
      </c>
      <c r="R209" s="357">
        <f t="shared" si="72"/>
        <v>20000</v>
      </c>
      <c r="S209" s="357">
        <f t="shared" ref="S209:S225" si="75">IF(AND(M209&lt;&gt;"",M209&gt;2),R209*Q209*N209/1000,"")</f>
        <v>530400</v>
      </c>
    </row>
    <row r="210" spans="2:19">
      <c r="B210" s="256" t="s">
        <v>743</v>
      </c>
      <c r="C210" s="263"/>
      <c r="D210" s="258"/>
      <c r="E210" s="258"/>
      <c r="F210" s="254">
        <f>10*120*D206</f>
        <v>27192000</v>
      </c>
      <c r="G210" s="255"/>
      <c r="J210" s="355">
        <v>42897</v>
      </c>
      <c r="K210" s="355">
        <v>42916</v>
      </c>
      <c r="L210" s="356" t="s">
        <v>567</v>
      </c>
      <c r="M210" s="356">
        <f t="shared" si="73"/>
        <v>20</v>
      </c>
      <c r="N210" s="356">
        <f t="shared" si="74"/>
        <v>18</v>
      </c>
      <c r="O210" s="474">
        <v>450</v>
      </c>
      <c r="P210" s="505"/>
      <c r="Q210" s="475">
        <f t="shared" si="71"/>
        <v>5850</v>
      </c>
      <c r="R210" s="357">
        <f t="shared" si="72"/>
        <v>20000</v>
      </c>
      <c r="S210" s="357">
        <f t="shared" si="75"/>
        <v>2106000</v>
      </c>
    </row>
    <row r="211" spans="2:19">
      <c r="B211" s="256" t="s">
        <v>152</v>
      </c>
      <c r="C211" s="310"/>
      <c r="D211" s="255"/>
      <c r="E211" s="255"/>
      <c r="F211" s="255">
        <v>1100000</v>
      </c>
      <c r="G211" s="255">
        <v>1504776000</v>
      </c>
      <c r="J211" s="355">
        <v>42912</v>
      </c>
      <c r="K211" s="355">
        <v>42916</v>
      </c>
      <c r="L211" s="356" t="s">
        <v>781</v>
      </c>
      <c r="M211" s="356">
        <f t="shared" ref="M211:M227" si="76">IF(K211&lt;&gt;"",K211-J211+1,"")</f>
        <v>5</v>
      </c>
      <c r="N211" s="356">
        <f t="shared" ref="N211:N227" si="77">IF(AND(M211&lt;&gt;"",M211&gt;2),M211-2,"")</f>
        <v>3</v>
      </c>
      <c r="O211" s="474">
        <v>2030</v>
      </c>
      <c r="P211" s="505"/>
      <c r="Q211" s="475">
        <f t="shared" si="71"/>
        <v>26390</v>
      </c>
      <c r="R211" s="357">
        <f t="shared" si="72"/>
        <v>20000</v>
      </c>
      <c r="S211" s="357">
        <f t="shared" si="75"/>
        <v>1583400</v>
      </c>
    </row>
    <row r="212" spans="2:19">
      <c r="B212" s="256" t="s">
        <v>778</v>
      </c>
      <c r="C212" s="310"/>
      <c r="D212" s="255"/>
      <c r="E212" s="255"/>
      <c r="F212" s="255">
        <v>1100000</v>
      </c>
      <c r="G212" s="255">
        <v>1727323000</v>
      </c>
      <c r="J212" s="355">
        <v>42912</v>
      </c>
      <c r="K212" s="355">
        <v>42916</v>
      </c>
      <c r="L212" s="356" t="s">
        <v>782</v>
      </c>
      <c r="M212" s="356">
        <f t="shared" si="76"/>
        <v>5</v>
      </c>
      <c r="N212" s="356">
        <f t="shared" si="77"/>
        <v>3</v>
      </c>
      <c r="O212" s="474">
        <v>530</v>
      </c>
      <c r="P212" s="505"/>
      <c r="Q212" s="475">
        <f t="shared" si="71"/>
        <v>6890</v>
      </c>
      <c r="R212" s="357">
        <f t="shared" si="72"/>
        <v>20000</v>
      </c>
      <c r="S212" s="357">
        <f t="shared" si="75"/>
        <v>413400</v>
      </c>
    </row>
    <row r="213" spans="2:19">
      <c r="B213" s="256" t="s">
        <v>394</v>
      </c>
      <c r="C213" s="263"/>
      <c r="D213" s="258"/>
      <c r="E213" s="258"/>
      <c r="F213" s="255">
        <v>1100000</v>
      </c>
      <c r="G213" s="255">
        <v>1411865000</v>
      </c>
      <c r="J213" s="355">
        <v>42913</v>
      </c>
      <c r="K213" s="355">
        <v>42916</v>
      </c>
      <c r="L213" s="356" t="s">
        <v>568</v>
      </c>
      <c r="M213" s="356">
        <f t="shared" si="76"/>
        <v>4</v>
      </c>
      <c r="N213" s="356">
        <f t="shared" si="77"/>
        <v>2</v>
      </c>
      <c r="O213" s="474">
        <f>105+442</f>
        <v>547</v>
      </c>
      <c r="P213" s="505"/>
      <c r="Q213" s="475">
        <f t="shared" si="71"/>
        <v>7111</v>
      </c>
      <c r="R213" s="357">
        <f t="shared" si="72"/>
        <v>20000</v>
      </c>
      <c r="S213" s="357">
        <f t="shared" si="75"/>
        <v>284440</v>
      </c>
    </row>
    <row r="214" spans="2:19">
      <c r="B214" s="256" t="s">
        <v>547</v>
      </c>
      <c r="C214" s="263"/>
      <c r="D214" s="258"/>
      <c r="E214" s="258"/>
      <c r="F214" s="255">
        <v>1100000</v>
      </c>
      <c r="G214" s="255">
        <v>1138547500</v>
      </c>
      <c r="J214" s="355">
        <v>42913</v>
      </c>
      <c r="K214" s="355">
        <v>42916</v>
      </c>
      <c r="L214" s="356" t="s">
        <v>783</v>
      </c>
      <c r="M214" s="356">
        <f t="shared" si="76"/>
        <v>4</v>
      </c>
      <c r="N214" s="356">
        <f t="shared" si="77"/>
        <v>2</v>
      </c>
      <c r="O214" s="474">
        <v>401</v>
      </c>
      <c r="P214" s="505"/>
      <c r="Q214" s="475">
        <f t="shared" si="71"/>
        <v>5213</v>
      </c>
      <c r="R214" s="357">
        <f t="shared" si="72"/>
        <v>20000</v>
      </c>
      <c r="S214" s="357">
        <f t="shared" si="75"/>
        <v>208520</v>
      </c>
    </row>
    <row r="215" spans="2:19">
      <c r="B215" s="253" t="s">
        <v>729</v>
      </c>
      <c r="C215" s="263"/>
      <c r="D215" s="258"/>
      <c r="E215" s="258"/>
      <c r="F215" s="255">
        <v>1100000</v>
      </c>
      <c r="G215" s="255">
        <v>2000000000</v>
      </c>
      <c r="J215" s="355">
        <v>42913</v>
      </c>
      <c r="K215" s="355">
        <v>42922</v>
      </c>
      <c r="L215" s="356" t="s">
        <v>783</v>
      </c>
      <c r="M215" s="356">
        <f t="shared" si="76"/>
        <v>10</v>
      </c>
      <c r="N215" s="356">
        <f t="shared" si="77"/>
        <v>8</v>
      </c>
      <c r="O215" s="474">
        <f>351+90-O214</f>
        <v>40</v>
      </c>
      <c r="P215" s="505"/>
      <c r="Q215" s="475">
        <f t="shared" ref="Q215:Q221" si="78">O215*13</f>
        <v>520</v>
      </c>
      <c r="R215" s="357">
        <f t="shared" ref="R215:R221" si="79">IF(AND(M215&lt;&gt;"",M215&gt;2),20000,0)</f>
        <v>20000</v>
      </c>
      <c r="S215" s="357">
        <f t="shared" ref="S215:S221" si="80">IF(AND(M215&lt;&gt;"",M215&gt;2),R215*Q215*N215/1000,"")</f>
        <v>83200</v>
      </c>
    </row>
    <row r="216" spans="2:19">
      <c r="B216" s="256" t="s">
        <v>56</v>
      </c>
      <c r="C216" s="338"/>
      <c r="D216" s="258"/>
      <c r="E216" s="258"/>
      <c r="F216" s="255">
        <v>1100000</v>
      </c>
      <c r="G216" s="255">
        <v>1159150000</v>
      </c>
      <c r="J216" s="355">
        <v>42913</v>
      </c>
      <c r="K216" s="355">
        <v>42922</v>
      </c>
      <c r="L216" s="356" t="s">
        <v>186</v>
      </c>
      <c r="M216" s="356">
        <f t="shared" si="76"/>
        <v>10</v>
      </c>
      <c r="N216" s="356">
        <f t="shared" si="77"/>
        <v>8</v>
      </c>
      <c r="O216" s="474">
        <v>529</v>
      </c>
      <c r="P216" s="505"/>
      <c r="Q216" s="475">
        <f t="shared" si="78"/>
        <v>6877</v>
      </c>
      <c r="R216" s="357">
        <f t="shared" si="79"/>
        <v>20000</v>
      </c>
      <c r="S216" s="357">
        <f t="shared" si="80"/>
        <v>1100320</v>
      </c>
    </row>
    <row r="217" spans="2:19">
      <c r="B217" s="329"/>
      <c r="C217" s="338"/>
      <c r="D217" s="258"/>
      <c r="E217" s="258"/>
      <c r="F217" s="339"/>
      <c r="G217" s="258"/>
      <c r="J217" s="355">
        <v>42914</v>
      </c>
      <c r="K217" s="355">
        <v>42922</v>
      </c>
      <c r="L217" s="356" t="s">
        <v>784</v>
      </c>
      <c r="M217" s="356">
        <f t="shared" si="76"/>
        <v>9</v>
      </c>
      <c r="N217" s="356">
        <f t="shared" si="77"/>
        <v>7</v>
      </c>
      <c r="O217" s="474">
        <f>26+1012</f>
        <v>1038</v>
      </c>
      <c r="P217" s="505"/>
      <c r="Q217" s="475">
        <f t="shared" si="78"/>
        <v>13494</v>
      </c>
      <c r="R217" s="357">
        <f t="shared" si="79"/>
        <v>20000</v>
      </c>
      <c r="S217" s="357">
        <f t="shared" si="80"/>
        <v>1889160</v>
      </c>
    </row>
    <row r="218" spans="2:19">
      <c r="B218" s="376" t="s">
        <v>57</v>
      </c>
      <c r="C218" s="377"/>
      <c r="D218" s="378"/>
      <c r="E218" s="378">
        <f>SUM(E206:E217)</f>
        <v>9507773893.2000008</v>
      </c>
      <c r="F218" s="379">
        <f>SUM(F206:F217)</f>
        <v>566104280</v>
      </c>
      <c r="G218" s="378">
        <f>SUM(G206:G217)</f>
        <v>8941661500</v>
      </c>
      <c r="J218" s="355">
        <v>42914</v>
      </c>
      <c r="K218" s="355">
        <v>42922</v>
      </c>
      <c r="L218" s="356" t="s">
        <v>785</v>
      </c>
      <c r="M218" s="356">
        <f t="shared" si="76"/>
        <v>9</v>
      </c>
      <c r="N218" s="356">
        <f t="shared" si="77"/>
        <v>7</v>
      </c>
      <c r="O218" s="474">
        <f>196+497</f>
        <v>693</v>
      </c>
      <c r="P218" s="505"/>
      <c r="Q218" s="475">
        <f t="shared" si="78"/>
        <v>9009</v>
      </c>
      <c r="R218" s="357">
        <f t="shared" si="79"/>
        <v>20000</v>
      </c>
      <c r="S218" s="357">
        <f t="shared" si="80"/>
        <v>1261260</v>
      </c>
    </row>
    <row r="219" spans="2:19">
      <c r="J219" s="355">
        <v>42918</v>
      </c>
      <c r="K219" s="355">
        <v>42922</v>
      </c>
      <c r="L219" s="356" t="s">
        <v>186</v>
      </c>
      <c r="M219" s="356">
        <f t="shared" si="76"/>
        <v>5</v>
      </c>
      <c r="N219" s="356">
        <f t="shared" si="77"/>
        <v>3</v>
      </c>
      <c r="O219" s="474">
        <v>776</v>
      </c>
      <c r="P219" s="505"/>
      <c r="Q219" s="475">
        <f t="shared" si="78"/>
        <v>10088</v>
      </c>
      <c r="R219" s="357">
        <f t="shared" si="79"/>
        <v>20000</v>
      </c>
      <c r="S219" s="357">
        <f t="shared" si="80"/>
        <v>605280</v>
      </c>
    </row>
    <row r="220" spans="2:19" ht="15.75">
      <c r="B220" s="162" t="s">
        <v>749</v>
      </c>
      <c r="J220" s="355">
        <v>42918</v>
      </c>
      <c r="K220" s="355">
        <v>42922</v>
      </c>
      <c r="L220" s="356" t="s">
        <v>786</v>
      </c>
      <c r="M220" s="356">
        <f t="shared" si="76"/>
        <v>5</v>
      </c>
      <c r="N220" s="356">
        <f t="shared" si="77"/>
        <v>3</v>
      </c>
      <c r="O220" s="474">
        <v>445</v>
      </c>
      <c r="P220" s="505"/>
      <c r="Q220" s="475">
        <f t="shared" si="78"/>
        <v>5785</v>
      </c>
      <c r="R220" s="357">
        <f t="shared" si="79"/>
        <v>20000</v>
      </c>
      <c r="S220" s="357">
        <f t="shared" si="80"/>
        <v>347100</v>
      </c>
    </row>
    <row r="221" spans="2:19">
      <c r="G221" s="342">
        <f>E218-F218-G218</f>
        <v>8113.2000007629395</v>
      </c>
      <c r="J221" s="355">
        <v>42918</v>
      </c>
      <c r="K221" s="355">
        <v>42922</v>
      </c>
      <c r="L221" s="356" t="s">
        <v>787</v>
      </c>
      <c r="M221" s="356">
        <f t="shared" si="76"/>
        <v>5</v>
      </c>
      <c r="N221" s="356">
        <f t="shared" si="77"/>
        <v>3</v>
      </c>
      <c r="O221" s="474">
        <v>350</v>
      </c>
      <c r="P221" s="505"/>
      <c r="Q221" s="475">
        <f t="shared" si="78"/>
        <v>4550</v>
      </c>
      <c r="R221" s="357">
        <f t="shared" si="79"/>
        <v>20000</v>
      </c>
      <c r="S221" s="357">
        <f t="shared" si="80"/>
        <v>273000</v>
      </c>
    </row>
    <row r="222" spans="2:19">
      <c r="J222" s="355">
        <v>42919</v>
      </c>
      <c r="K222" s="355">
        <v>42922</v>
      </c>
      <c r="L222" s="356" t="s">
        <v>788</v>
      </c>
      <c r="M222" s="356">
        <f t="shared" si="76"/>
        <v>4</v>
      </c>
      <c r="N222" s="356">
        <f t="shared" si="77"/>
        <v>2</v>
      </c>
      <c r="O222" s="474">
        <v>2030</v>
      </c>
      <c r="P222" s="505"/>
      <c r="Q222" s="475">
        <f t="shared" si="71"/>
        <v>26390</v>
      </c>
      <c r="R222" s="357">
        <f t="shared" si="72"/>
        <v>20000</v>
      </c>
      <c r="S222" s="357">
        <f t="shared" si="75"/>
        <v>1055600</v>
      </c>
    </row>
    <row r="223" spans="2:19">
      <c r="J223" s="355">
        <v>42919</v>
      </c>
      <c r="K223" s="355">
        <v>42922</v>
      </c>
      <c r="L223" s="356" t="s">
        <v>202</v>
      </c>
      <c r="M223" s="356">
        <f t="shared" si="76"/>
        <v>4</v>
      </c>
      <c r="N223" s="356">
        <f t="shared" si="77"/>
        <v>2</v>
      </c>
      <c r="O223" s="474">
        <v>189</v>
      </c>
      <c r="P223" s="505"/>
      <c r="Q223" s="475">
        <f t="shared" si="71"/>
        <v>2457</v>
      </c>
      <c r="R223" s="357">
        <f t="shared" si="72"/>
        <v>20000</v>
      </c>
      <c r="S223" s="357">
        <f t="shared" si="75"/>
        <v>98280</v>
      </c>
    </row>
    <row r="224" spans="2:19">
      <c r="J224" s="355">
        <v>42919</v>
      </c>
      <c r="K224" s="355">
        <v>42923</v>
      </c>
      <c r="L224" s="356" t="s">
        <v>202</v>
      </c>
      <c r="M224" s="356">
        <f t="shared" si="76"/>
        <v>5</v>
      </c>
      <c r="N224" s="356">
        <f t="shared" si="77"/>
        <v>3</v>
      </c>
      <c r="O224" s="474">
        <f>2030-O223</f>
        <v>1841</v>
      </c>
      <c r="P224" s="505"/>
      <c r="Q224" s="475">
        <f t="shared" si="71"/>
        <v>23933</v>
      </c>
      <c r="R224" s="357">
        <f t="shared" si="72"/>
        <v>20000</v>
      </c>
      <c r="S224" s="357">
        <f t="shared" si="75"/>
        <v>1435980</v>
      </c>
    </row>
    <row r="225" spans="1:19">
      <c r="J225" s="355">
        <v>42919</v>
      </c>
      <c r="K225" s="355">
        <v>42923</v>
      </c>
      <c r="L225" s="356" t="s">
        <v>789</v>
      </c>
      <c r="M225" s="356">
        <f t="shared" si="76"/>
        <v>5</v>
      </c>
      <c r="N225" s="356">
        <f t="shared" si="77"/>
        <v>3</v>
      </c>
      <c r="O225" s="474">
        <v>2030</v>
      </c>
      <c r="P225" s="505"/>
      <c r="Q225" s="475">
        <f t="shared" si="71"/>
        <v>26390</v>
      </c>
      <c r="R225" s="357">
        <f t="shared" si="72"/>
        <v>20000</v>
      </c>
      <c r="S225" s="357">
        <f t="shared" si="75"/>
        <v>1583400</v>
      </c>
    </row>
    <row r="226" spans="1:19">
      <c r="J226" s="355">
        <v>42920</v>
      </c>
      <c r="K226" s="355">
        <v>42923</v>
      </c>
      <c r="L226" s="356" t="s">
        <v>790</v>
      </c>
      <c r="M226" s="356">
        <f t="shared" si="76"/>
        <v>4</v>
      </c>
      <c r="N226" s="356">
        <f t="shared" si="77"/>
        <v>2</v>
      </c>
      <c r="O226" s="474">
        <v>2020</v>
      </c>
      <c r="P226" s="505"/>
      <c r="Q226" s="475">
        <f t="shared" si="71"/>
        <v>26260</v>
      </c>
      <c r="R226" s="357">
        <f t="shared" ref="R226:R227" si="81">IF(AND(M226&lt;&gt;"",M226&gt;2),20000,0)</f>
        <v>20000</v>
      </c>
      <c r="S226" s="357">
        <f t="shared" ref="S226:S227" si="82">IF(AND(M226&lt;&gt;"",M226&gt;2),R226*Q226*N226/1000,"")</f>
        <v>1050400</v>
      </c>
    </row>
    <row r="227" spans="1:19">
      <c r="J227" s="355">
        <v>42922</v>
      </c>
      <c r="K227" s="355">
        <v>42923</v>
      </c>
      <c r="L227" s="356" t="s">
        <v>681</v>
      </c>
      <c r="M227" s="356">
        <f t="shared" si="76"/>
        <v>2</v>
      </c>
      <c r="N227" s="356" t="str">
        <f t="shared" si="77"/>
        <v/>
      </c>
      <c r="O227" s="474">
        <v>199</v>
      </c>
      <c r="P227" s="505"/>
      <c r="Q227" s="475">
        <f t="shared" si="71"/>
        <v>2587</v>
      </c>
      <c r="R227" s="357">
        <f t="shared" si="81"/>
        <v>0</v>
      </c>
      <c r="S227" s="357" t="str">
        <f t="shared" si="82"/>
        <v/>
      </c>
    </row>
    <row r="228" spans="1:19">
      <c r="J228" s="358"/>
      <c r="K228" s="358"/>
      <c r="L228" s="359"/>
      <c r="M228" s="359"/>
      <c r="N228" s="359"/>
      <c r="O228" s="361"/>
      <c r="P228" s="361"/>
      <c r="Q228" s="361"/>
      <c r="R228" s="360"/>
      <c r="S228" s="360"/>
    </row>
    <row r="229" spans="1:19">
      <c r="J229" s="414"/>
      <c r="K229" s="414"/>
      <c r="L229" s="414" t="s">
        <v>48</v>
      </c>
      <c r="M229" s="414"/>
      <c r="N229" s="414"/>
      <c r="O229" s="413">
        <f>SUM(O206:O228)</f>
        <v>20300</v>
      </c>
      <c r="P229" s="413"/>
      <c r="Q229" s="413">
        <f>SUM(Q206:Q228)</f>
        <v>263900</v>
      </c>
      <c r="R229" s="413"/>
      <c r="S229" s="415">
        <f>SUM(S206:S228)</f>
        <v>19807580</v>
      </c>
    </row>
    <row r="232" spans="1:19">
      <c r="J232" s="352" t="s">
        <v>797</v>
      </c>
      <c r="K232" s="353"/>
      <c r="L232" s="354"/>
      <c r="M232" s="353"/>
      <c r="N232" s="353"/>
      <c r="O232" s="353"/>
      <c r="P232" s="353"/>
      <c r="Q232" s="353"/>
      <c r="R232" s="353"/>
      <c r="S232" s="353"/>
    </row>
    <row r="233" spans="1:19" ht="57">
      <c r="A233" s="330" t="s">
        <v>0</v>
      </c>
      <c r="B233" s="330" t="s">
        <v>21</v>
      </c>
      <c r="C233" s="861" t="s">
        <v>798</v>
      </c>
      <c r="D233" s="862"/>
      <c r="E233" s="332" t="s">
        <v>799</v>
      </c>
      <c r="F233" s="332" t="s">
        <v>800</v>
      </c>
      <c r="G233" s="350"/>
      <c r="J233" s="330" t="s">
        <v>30</v>
      </c>
      <c r="K233" s="330" t="s">
        <v>31</v>
      </c>
      <c r="L233" s="330" t="s">
        <v>103</v>
      </c>
      <c r="M233" s="330" t="s">
        <v>32</v>
      </c>
      <c r="N233" s="330" t="s">
        <v>573</v>
      </c>
      <c r="O233" s="330" t="s">
        <v>83</v>
      </c>
      <c r="P233" s="330"/>
      <c r="Q233" s="331" t="s">
        <v>33</v>
      </c>
      <c r="R233" s="332" t="s">
        <v>106</v>
      </c>
      <c r="S233" s="332" t="s">
        <v>9</v>
      </c>
    </row>
    <row r="234" spans="1:19">
      <c r="A234" s="489">
        <v>1</v>
      </c>
      <c r="B234" s="253" t="s">
        <v>801</v>
      </c>
      <c r="C234" s="925">
        <v>240000000</v>
      </c>
      <c r="D234" s="926"/>
      <c r="E234" s="255">
        <f>C234*D234</f>
        <v>0</v>
      </c>
      <c r="F234" s="476">
        <f>C234-E234</f>
        <v>240000000</v>
      </c>
      <c r="G234" s="351"/>
      <c r="J234" s="355">
        <v>42922</v>
      </c>
      <c r="K234" s="355"/>
      <c r="L234" s="356" t="s">
        <v>681</v>
      </c>
      <c r="M234" s="356" t="str">
        <f t="shared" ref="M234:M242" si="83">IF(K234&lt;&gt;"",K234-J234+1,"")</f>
        <v/>
      </c>
      <c r="N234" s="356" t="str">
        <f t="shared" ref="N234:N242" si="84">IF(AND(M234&lt;&gt;"",M234&gt;2),M234-2,"")</f>
        <v/>
      </c>
      <c r="O234" s="474">
        <v>1831</v>
      </c>
      <c r="P234" s="505"/>
      <c r="Q234" s="475">
        <f t="shared" ref="Q234:Q240" si="85">O234*13</f>
        <v>23803</v>
      </c>
      <c r="R234" s="357">
        <f t="shared" ref="R234:R240" si="86">IF(AND(M234&lt;&gt;"",M234&gt;2),20000,0)</f>
        <v>0</v>
      </c>
      <c r="S234" s="357" t="str">
        <f t="shared" ref="S234:S240" si="87">IF(AND(M234&lt;&gt;"",M234&gt;2),R234*Q234*N234/1000,"")</f>
        <v/>
      </c>
    </row>
    <row r="235" spans="1:19">
      <c r="A235" s="489">
        <v>2</v>
      </c>
      <c r="B235" s="253" t="s">
        <v>802</v>
      </c>
      <c r="C235" s="863">
        <v>9500000000</v>
      </c>
      <c r="D235" s="864"/>
      <c r="E235" s="255"/>
      <c r="F235" s="477">
        <f>F234+C235-E235</f>
        <v>9740000000</v>
      </c>
      <c r="G235" s="351"/>
      <c r="J235" s="355">
        <v>42923</v>
      </c>
      <c r="K235" s="355"/>
      <c r="L235" s="356" t="s">
        <v>791</v>
      </c>
      <c r="M235" s="356" t="str">
        <f t="shared" si="83"/>
        <v/>
      </c>
      <c r="N235" s="356" t="str">
        <f t="shared" si="84"/>
        <v/>
      </c>
      <c r="O235" s="474">
        <v>2030</v>
      </c>
      <c r="P235" s="505"/>
      <c r="Q235" s="475">
        <f t="shared" si="85"/>
        <v>26390</v>
      </c>
      <c r="R235" s="357">
        <f t="shared" si="86"/>
        <v>0</v>
      </c>
      <c r="S235" s="357" t="str">
        <f t="shared" si="87"/>
        <v/>
      </c>
    </row>
    <row r="236" spans="1:19">
      <c r="A236" s="489">
        <v>3</v>
      </c>
      <c r="B236" s="253" t="s">
        <v>805</v>
      </c>
      <c r="C236" s="863">
        <v>120000000</v>
      </c>
      <c r="D236" s="864"/>
      <c r="E236" s="255"/>
      <c r="F236" s="477">
        <f t="shared" ref="F236:F244" si="88">F235+C236-E236</f>
        <v>9860000000</v>
      </c>
      <c r="G236" s="351"/>
      <c r="J236" s="355">
        <v>42923</v>
      </c>
      <c r="K236" s="355"/>
      <c r="L236" s="356" t="s">
        <v>792</v>
      </c>
      <c r="M236" s="356" t="str">
        <f t="shared" si="83"/>
        <v/>
      </c>
      <c r="N236" s="356" t="str">
        <f t="shared" si="84"/>
        <v/>
      </c>
      <c r="O236" s="474">
        <v>2030</v>
      </c>
      <c r="P236" s="505"/>
      <c r="Q236" s="475">
        <f t="shared" si="85"/>
        <v>26390</v>
      </c>
      <c r="R236" s="357">
        <f t="shared" si="86"/>
        <v>0</v>
      </c>
      <c r="S236" s="357" t="str">
        <f t="shared" si="87"/>
        <v/>
      </c>
    </row>
    <row r="237" spans="1:19">
      <c r="A237" s="489">
        <v>4</v>
      </c>
      <c r="B237" s="253" t="s">
        <v>803</v>
      </c>
      <c r="C237" s="863"/>
      <c r="D237" s="864"/>
      <c r="E237" s="255">
        <v>8949000000</v>
      </c>
      <c r="F237" s="477">
        <f t="shared" si="88"/>
        <v>911000000</v>
      </c>
      <c r="G237" s="351"/>
      <c r="J237" s="355">
        <v>42923</v>
      </c>
      <c r="K237" s="355"/>
      <c r="L237" s="356" t="s">
        <v>787</v>
      </c>
      <c r="M237" s="356" t="str">
        <f t="shared" si="83"/>
        <v/>
      </c>
      <c r="N237" s="356" t="str">
        <f t="shared" si="84"/>
        <v/>
      </c>
      <c r="O237" s="474">
        <v>412</v>
      </c>
      <c r="P237" s="505"/>
      <c r="Q237" s="475">
        <f t="shared" si="85"/>
        <v>5356</v>
      </c>
      <c r="R237" s="357">
        <f t="shared" si="86"/>
        <v>0</v>
      </c>
      <c r="S237" s="357" t="str">
        <f t="shared" si="87"/>
        <v/>
      </c>
    </row>
    <row r="238" spans="1:19">
      <c r="A238" s="489">
        <v>5</v>
      </c>
      <c r="B238" s="253" t="s">
        <v>804</v>
      </c>
      <c r="C238" s="863"/>
      <c r="D238" s="864"/>
      <c r="E238" s="255">
        <v>650000000</v>
      </c>
      <c r="F238" s="477">
        <f t="shared" si="88"/>
        <v>261000000</v>
      </c>
      <c r="G238" s="351"/>
      <c r="J238" s="355">
        <v>42923</v>
      </c>
      <c r="K238" s="355"/>
      <c r="L238" s="356" t="s">
        <v>84</v>
      </c>
      <c r="M238" s="356" t="str">
        <f t="shared" si="83"/>
        <v/>
      </c>
      <c r="N238" s="356" t="str">
        <f t="shared" si="84"/>
        <v/>
      </c>
      <c r="O238" s="474">
        <v>448</v>
      </c>
      <c r="P238" s="505"/>
      <c r="Q238" s="475">
        <f t="shared" si="85"/>
        <v>5824</v>
      </c>
      <c r="R238" s="357">
        <f t="shared" si="86"/>
        <v>0</v>
      </c>
      <c r="S238" s="357" t="str">
        <f t="shared" si="87"/>
        <v/>
      </c>
    </row>
    <row r="239" spans="1:19">
      <c r="A239" s="489">
        <v>6</v>
      </c>
      <c r="B239" s="256" t="s">
        <v>806</v>
      </c>
      <c r="C239" s="863"/>
      <c r="D239" s="864"/>
      <c r="E239" s="258">
        <v>31581550</v>
      </c>
      <c r="F239" s="477">
        <f t="shared" si="88"/>
        <v>229418450</v>
      </c>
      <c r="G239" s="351"/>
      <c r="J239" s="355">
        <v>42924</v>
      </c>
      <c r="K239" s="355"/>
      <c r="L239" s="356" t="s">
        <v>793</v>
      </c>
      <c r="M239" s="356" t="str">
        <f t="shared" si="83"/>
        <v/>
      </c>
      <c r="N239" s="356" t="str">
        <f t="shared" si="84"/>
        <v/>
      </c>
      <c r="O239" s="474">
        <v>2002</v>
      </c>
      <c r="P239" s="505"/>
      <c r="Q239" s="475">
        <f t="shared" si="85"/>
        <v>26026</v>
      </c>
      <c r="R239" s="357">
        <f t="shared" si="86"/>
        <v>0</v>
      </c>
      <c r="S239" s="357" t="str">
        <f t="shared" si="87"/>
        <v/>
      </c>
    </row>
    <row r="240" spans="1:19">
      <c r="A240" s="489">
        <v>7</v>
      </c>
      <c r="B240" s="257" t="s">
        <v>807</v>
      </c>
      <c r="C240" s="479"/>
      <c r="D240" s="480"/>
      <c r="E240" s="258">
        <v>23500000</v>
      </c>
      <c r="F240" s="477">
        <f t="shared" si="88"/>
        <v>205918450</v>
      </c>
      <c r="G240" s="351"/>
      <c r="J240" s="355">
        <v>42924</v>
      </c>
      <c r="K240" s="355"/>
      <c r="L240" s="356" t="s">
        <v>794</v>
      </c>
      <c r="M240" s="356" t="str">
        <f t="shared" si="83"/>
        <v/>
      </c>
      <c r="N240" s="356" t="str">
        <f t="shared" si="84"/>
        <v/>
      </c>
      <c r="O240" s="474">
        <v>2030</v>
      </c>
      <c r="P240" s="505"/>
      <c r="Q240" s="475">
        <f t="shared" si="85"/>
        <v>26390</v>
      </c>
      <c r="R240" s="357">
        <f t="shared" si="86"/>
        <v>0</v>
      </c>
      <c r="S240" s="357" t="str">
        <f t="shared" si="87"/>
        <v/>
      </c>
    </row>
    <row r="241" spans="1:19">
      <c r="A241" s="489">
        <v>8</v>
      </c>
      <c r="B241" s="257" t="s">
        <v>808</v>
      </c>
      <c r="C241" s="479"/>
      <c r="D241" s="480"/>
      <c r="E241" s="258">
        <v>29590000</v>
      </c>
      <c r="F241" s="477">
        <f t="shared" si="88"/>
        <v>176328450</v>
      </c>
      <c r="G241" s="351"/>
      <c r="J241" s="355">
        <v>42924</v>
      </c>
      <c r="K241" s="355"/>
      <c r="L241" s="356" t="s">
        <v>795</v>
      </c>
      <c r="M241" s="356" t="str">
        <f t="shared" si="83"/>
        <v/>
      </c>
      <c r="N241" s="356" t="str">
        <f t="shared" si="84"/>
        <v/>
      </c>
      <c r="O241" s="474">
        <v>2184</v>
      </c>
      <c r="P241" s="505"/>
      <c r="Q241" s="475">
        <f t="shared" ref="Q241:Q243" si="89">O241*13</f>
        <v>28392</v>
      </c>
      <c r="R241" s="357">
        <f t="shared" ref="R241:R243" si="90">IF(AND(M241&lt;&gt;"",M241&gt;2),20000,0)</f>
        <v>0</v>
      </c>
      <c r="S241" s="357" t="str">
        <f t="shared" ref="S241:S243" si="91">IF(AND(M241&lt;&gt;"",M241&gt;2),R241*Q241*N241/1000,"")</f>
        <v/>
      </c>
    </row>
    <row r="242" spans="1:19">
      <c r="A242" s="489">
        <v>9</v>
      </c>
      <c r="B242" s="257" t="s">
        <v>809</v>
      </c>
      <c r="C242" s="479"/>
      <c r="D242" s="480"/>
      <c r="E242" s="258">
        <v>50000000</v>
      </c>
      <c r="F242" s="477">
        <f t="shared" si="88"/>
        <v>126328450</v>
      </c>
      <c r="G242" s="380"/>
      <c r="J242" s="355">
        <v>42924</v>
      </c>
      <c r="K242" s="355"/>
      <c r="L242" s="356" t="s">
        <v>796</v>
      </c>
      <c r="M242" s="356" t="str">
        <f t="shared" si="83"/>
        <v/>
      </c>
      <c r="N242" s="356" t="str">
        <f t="shared" si="84"/>
        <v/>
      </c>
      <c r="O242" s="474">
        <v>2030</v>
      </c>
      <c r="P242" s="505"/>
      <c r="Q242" s="475">
        <f t="shared" si="89"/>
        <v>26390</v>
      </c>
      <c r="R242" s="357">
        <f t="shared" si="90"/>
        <v>0</v>
      </c>
      <c r="S242" s="357" t="str">
        <f t="shared" si="91"/>
        <v/>
      </c>
    </row>
    <row r="243" spans="1:19">
      <c r="A243" s="489">
        <v>10</v>
      </c>
      <c r="B243" s="257" t="s">
        <v>810</v>
      </c>
      <c r="C243" s="479"/>
      <c r="D243" s="480"/>
      <c r="E243" s="258">
        <v>36000000</v>
      </c>
      <c r="F243" s="477">
        <f t="shared" si="88"/>
        <v>90328450</v>
      </c>
      <c r="J243" s="355"/>
      <c r="K243" s="355"/>
      <c r="L243" s="356"/>
      <c r="M243" s="356"/>
      <c r="N243" s="356"/>
      <c r="O243" s="474"/>
      <c r="P243" s="505"/>
      <c r="Q243" s="475">
        <f t="shared" si="89"/>
        <v>0</v>
      </c>
      <c r="R243" s="357">
        <f t="shared" si="90"/>
        <v>0</v>
      </c>
      <c r="S243" s="357" t="str">
        <f t="shared" si="91"/>
        <v/>
      </c>
    </row>
    <row r="244" spans="1:19">
      <c r="A244" s="489">
        <v>11</v>
      </c>
      <c r="B244" s="257" t="s">
        <v>811</v>
      </c>
      <c r="C244" s="479"/>
      <c r="D244" s="480"/>
      <c r="E244" s="258">
        <v>19659400</v>
      </c>
      <c r="F244" s="477">
        <f t="shared" si="88"/>
        <v>70669050</v>
      </c>
      <c r="J244" s="358"/>
      <c r="K244" s="358"/>
      <c r="L244" s="359"/>
      <c r="M244" s="359"/>
      <c r="N244" s="359"/>
      <c r="O244" s="361"/>
      <c r="P244" s="361"/>
      <c r="Q244" s="361"/>
      <c r="R244" s="360"/>
      <c r="S244" s="360"/>
    </row>
    <row r="245" spans="1:19">
      <c r="A245" s="329"/>
      <c r="B245" s="329"/>
      <c r="C245" s="927"/>
      <c r="D245" s="928"/>
      <c r="E245" s="258"/>
      <c r="F245" s="478"/>
    </row>
    <row r="246" spans="1:19">
      <c r="A246" s="376"/>
      <c r="B246" s="376" t="s">
        <v>57</v>
      </c>
      <c r="C246" s="856">
        <f>SUM(C234:C245)</f>
        <v>9860000000</v>
      </c>
      <c r="D246" s="857"/>
      <c r="E246" s="378">
        <f>SUM(E234:E245)</f>
        <v>9789330950</v>
      </c>
      <c r="F246" s="364">
        <f>F244</f>
        <v>70669050</v>
      </c>
    </row>
    <row r="250" spans="1:19" ht="50.25" customHeight="1">
      <c r="A250" s="330" t="s">
        <v>0</v>
      </c>
      <c r="B250" s="330" t="s">
        <v>21</v>
      </c>
      <c r="C250" s="331" t="s">
        <v>50</v>
      </c>
      <c r="D250" s="332" t="s">
        <v>51</v>
      </c>
      <c r="E250" s="332" t="s">
        <v>9</v>
      </c>
      <c r="F250" s="333" t="s">
        <v>117</v>
      </c>
      <c r="G250" s="332" t="s">
        <v>52</v>
      </c>
    </row>
    <row r="251" spans="1:19">
      <c r="A251" s="489">
        <v>1</v>
      </c>
      <c r="B251" s="253" t="s">
        <v>813</v>
      </c>
      <c r="C251" s="309">
        <v>419584.02</v>
      </c>
      <c r="D251" s="255">
        <v>22660</v>
      </c>
      <c r="E251" s="255">
        <f>C251*D251</f>
        <v>9507773893.2000008</v>
      </c>
      <c r="F251" s="336"/>
      <c r="G251" s="255"/>
    </row>
    <row r="252" spans="1:19">
      <c r="A252" s="489">
        <v>2</v>
      </c>
      <c r="B252" s="253" t="s">
        <v>123</v>
      </c>
      <c r="C252" s="310"/>
      <c r="D252" s="255"/>
      <c r="E252" s="255"/>
      <c r="F252" s="254">
        <v>2504700</v>
      </c>
      <c r="G252" s="255"/>
    </row>
    <row r="253" spans="1:19">
      <c r="A253" s="489">
        <v>3</v>
      </c>
      <c r="B253" s="256" t="s">
        <v>406</v>
      </c>
      <c r="C253" s="310"/>
      <c r="D253" s="255"/>
      <c r="E253" s="255"/>
      <c r="F253" s="255">
        <v>1100000</v>
      </c>
      <c r="G253" s="255">
        <v>1491262500</v>
      </c>
    </row>
    <row r="254" spans="1:19">
      <c r="A254" s="489">
        <v>4</v>
      </c>
      <c r="B254" s="256" t="s">
        <v>131</v>
      </c>
      <c r="C254" s="310"/>
      <c r="D254" s="255"/>
      <c r="E254" s="255"/>
      <c r="F254" s="255">
        <v>1100000</v>
      </c>
      <c r="G254" s="255">
        <v>1411865000</v>
      </c>
    </row>
    <row r="255" spans="1:19">
      <c r="A255" s="489">
        <v>5</v>
      </c>
      <c r="B255" s="256" t="s">
        <v>547</v>
      </c>
      <c r="C255" s="263"/>
      <c r="D255" s="258"/>
      <c r="E255" s="258"/>
      <c r="F255" s="255">
        <v>1100000</v>
      </c>
      <c r="G255" s="255">
        <v>1632402500</v>
      </c>
    </row>
    <row r="256" spans="1:19">
      <c r="A256" s="489">
        <v>6</v>
      </c>
      <c r="B256" s="256" t="s">
        <v>152</v>
      </c>
      <c r="C256" s="310"/>
      <c r="D256" s="255"/>
      <c r="E256" s="255"/>
      <c r="F256" s="255">
        <v>1100000</v>
      </c>
      <c r="G256" s="255">
        <v>1378689000</v>
      </c>
    </row>
    <row r="257" spans="1:19">
      <c r="A257" s="489">
        <v>7</v>
      </c>
      <c r="B257" s="253" t="s">
        <v>778</v>
      </c>
      <c r="C257" s="310"/>
      <c r="D257" s="255"/>
      <c r="E257" s="255"/>
      <c r="F257" s="255">
        <v>1100000</v>
      </c>
      <c r="G257" s="255">
        <v>1364220000</v>
      </c>
    </row>
    <row r="258" spans="1:19">
      <c r="A258" s="489">
        <v>8</v>
      </c>
      <c r="B258" s="256" t="s">
        <v>394</v>
      </c>
      <c r="C258" s="263"/>
      <c r="D258" s="258"/>
      <c r="E258" s="258"/>
      <c r="F258" s="255">
        <v>1100000</v>
      </c>
      <c r="G258" s="255">
        <v>2220230000</v>
      </c>
    </row>
    <row r="259" spans="1:19">
      <c r="A259" s="329"/>
      <c r="B259" s="329"/>
      <c r="C259" s="338"/>
      <c r="D259" s="258"/>
      <c r="E259" s="258"/>
      <c r="F259" s="339"/>
      <c r="G259" s="258"/>
    </row>
    <row r="260" spans="1:19">
      <c r="A260" s="376"/>
      <c r="B260" s="376" t="s">
        <v>57</v>
      </c>
      <c r="C260" s="377"/>
      <c r="D260" s="378"/>
      <c r="E260" s="378">
        <f>SUM(E251:E259)</f>
        <v>9507773893.2000008</v>
      </c>
      <c r="F260" s="488">
        <f>SUM(F251:F259)</f>
        <v>9104700</v>
      </c>
      <c r="G260" s="378">
        <f>SUM(G251:G259)</f>
        <v>9498669000</v>
      </c>
    </row>
    <row r="262" spans="1:19" ht="15.75">
      <c r="B262" s="162" t="s">
        <v>749</v>
      </c>
    </row>
    <row r="263" spans="1:19">
      <c r="G263" s="342">
        <f>E260-F260-G260</f>
        <v>193.20000076293945</v>
      </c>
    </row>
    <row r="266" spans="1:19">
      <c r="J266" s="352" t="s">
        <v>29</v>
      </c>
      <c r="K266" s="353"/>
      <c r="L266" s="354"/>
      <c r="M266" s="353"/>
      <c r="N266" s="353"/>
      <c r="O266" s="353"/>
      <c r="P266" s="353"/>
      <c r="Q266" s="353"/>
      <c r="R266" s="353"/>
      <c r="S266" s="353"/>
    </row>
    <row r="267" spans="1:19" ht="57">
      <c r="A267" s="330" t="s">
        <v>0</v>
      </c>
      <c r="B267" s="330" t="s">
        <v>21</v>
      </c>
      <c r="C267" s="331" t="s">
        <v>50</v>
      </c>
      <c r="D267" s="332" t="s">
        <v>51</v>
      </c>
      <c r="E267" s="332" t="s">
        <v>9</v>
      </c>
      <c r="F267" s="333" t="s">
        <v>117</v>
      </c>
      <c r="G267" s="332" t="s">
        <v>52</v>
      </c>
      <c r="I267" s="330" t="s">
        <v>0</v>
      </c>
      <c r="J267" s="330" t="s">
        <v>30</v>
      </c>
      <c r="K267" s="330" t="s">
        <v>31</v>
      </c>
      <c r="L267" s="330" t="s">
        <v>103</v>
      </c>
      <c r="M267" s="330" t="s">
        <v>32</v>
      </c>
      <c r="N267" s="330" t="s">
        <v>573</v>
      </c>
      <c r="O267" s="330" t="s">
        <v>83</v>
      </c>
      <c r="P267" s="330"/>
      <c r="Q267" s="331" t="s">
        <v>33</v>
      </c>
      <c r="R267" s="332" t="s">
        <v>106</v>
      </c>
      <c r="S267" s="332" t="s">
        <v>9</v>
      </c>
    </row>
    <row r="268" spans="1:19">
      <c r="A268" s="489">
        <v>1</v>
      </c>
      <c r="B268" s="253" t="s">
        <v>827</v>
      </c>
      <c r="C268" s="309">
        <v>419583.82</v>
      </c>
      <c r="D268" s="255">
        <v>22660</v>
      </c>
      <c r="E268" s="255">
        <f>C268*D268</f>
        <v>9507769361.2000008</v>
      </c>
      <c r="F268" s="336"/>
      <c r="G268" s="255"/>
      <c r="I268" s="489">
        <v>1</v>
      </c>
      <c r="J268" s="355">
        <v>42922</v>
      </c>
      <c r="K268" s="355">
        <v>42929</v>
      </c>
      <c r="L268" s="356" t="s">
        <v>681</v>
      </c>
      <c r="M268" s="356">
        <f t="shared" ref="M268:M271" si="92">IF(K268&lt;&gt;"",K268-J268+1,"")</f>
        <v>8</v>
      </c>
      <c r="N268" s="356">
        <f t="shared" ref="N268:N271" si="93">IF(AND(M268&lt;&gt;"",M268&gt;2),M268-2,"")</f>
        <v>6</v>
      </c>
      <c r="O268" s="490">
        <v>1831</v>
      </c>
      <c r="P268" s="505"/>
      <c r="Q268" s="491">
        <f>O268*13</f>
        <v>23803</v>
      </c>
      <c r="R268" s="357">
        <f>IF(AND(M268&lt;&gt;"",M268&gt;2),20000,0)</f>
        <v>20000</v>
      </c>
      <c r="S268" s="357">
        <f>IF(AND(M268&lt;&gt;"",M268&gt;2),R268*Q268*N268/1000,"")</f>
        <v>2856360</v>
      </c>
    </row>
    <row r="269" spans="1:19">
      <c r="A269" s="489">
        <v>2</v>
      </c>
      <c r="B269" s="253" t="s">
        <v>123</v>
      </c>
      <c r="C269" s="310"/>
      <c r="D269" s="255"/>
      <c r="E269" s="255"/>
      <c r="F269" s="254">
        <v>2504700</v>
      </c>
      <c r="G269" s="255"/>
      <c r="I269" s="489">
        <v>2</v>
      </c>
      <c r="J269" s="355">
        <v>42923</v>
      </c>
      <c r="K269" s="355">
        <v>42929</v>
      </c>
      <c r="L269" s="356" t="s">
        <v>791</v>
      </c>
      <c r="M269" s="356">
        <f t="shared" si="92"/>
        <v>7</v>
      </c>
      <c r="N269" s="356">
        <f t="shared" si="93"/>
        <v>5</v>
      </c>
      <c r="O269" s="490">
        <v>2030</v>
      </c>
      <c r="P269" s="505"/>
      <c r="Q269" s="491">
        <f t="shared" ref="Q269:Q281" si="94">O269*13</f>
        <v>26390</v>
      </c>
      <c r="R269" s="357">
        <f t="shared" ref="R269:R281" si="95">IF(AND(M269&lt;&gt;"",M269&gt;2),20000,0)</f>
        <v>20000</v>
      </c>
      <c r="S269" s="357">
        <f>IF(AND(M269&lt;&gt;"",M269&gt;2),R269*Q269*N269/1000,"")</f>
        <v>2639000</v>
      </c>
    </row>
    <row r="270" spans="1:19">
      <c r="A270" s="489">
        <v>3</v>
      </c>
      <c r="B270" s="253" t="s">
        <v>814</v>
      </c>
      <c r="C270" s="310"/>
      <c r="D270" s="255"/>
      <c r="E270" s="255"/>
      <c r="F270" s="255">
        <f>10*51000000</f>
        <v>510000000</v>
      </c>
      <c r="G270" s="255"/>
      <c r="I270" s="489">
        <v>3</v>
      </c>
      <c r="J270" s="355">
        <v>42923</v>
      </c>
      <c r="K270" s="355">
        <v>42929</v>
      </c>
      <c r="L270" s="356" t="s">
        <v>792</v>
      </c>
      <c r="M270" s="356">
        <f t="shared" si="92"/>
        <v>7</v>
      </c>
      <c r="N270" s="356">
        <f t="shared" si="93"/>
        <v>5</v>
      </c>
      <c r="O270" s="490">
        <v>2030</v>
      </c>
      <c r="P270" s="505"/>
      <c r="Q270" s="491">
        <f t="shared" si="94"/>
        <v>26390</v>
      </c>
      <c r="R270" s="357">
        <f t="shared" si="95"/>
        <v>20000</v>
      </c>
      <c r="S270" s="357">
        <f>IF(AND(M270&lt;&gt;"",M270&gt;2),R270*Q270*N270/1000,"")</f>
        <v>2639000</v>
      </c>
    </row>
    <row r="271" spans="1:19">
      <c r="A271" s="489">
        <v>4</v>
      </c>
      <c r="B271" s="253" t="s">
        <v>391</v>
      </c>
      <c r="C271" s="310"/>
      <c r="D271" s="255"/>
      <c r="E271" s="255"/>
      <c r="F271" s="255">
        <f>S283</f>
        <v>27242540</v>
      </c>
      <c r="G271" s="255"/>
      <c r="I271" s="489">
        <v>4</v>
      </c>
      <c r="J271" s="355">
        <v>42923</v>
      </c>
      <c r="K271" s="355">
        <v>42929</v>
      </c>
      <c r="L271" s="356" t="s">
        <v>787</v>
      </c>
      <c r="M271" s="356">
        <f t="shared" si="92"/>
        <v>7</v>
      </c>
      <c r="N271" s="356">
        <f t="shared" si="93"/>
        <v>5</v>
      </c>
      <c r="O271" s="490">
        <v>199</v>
      </c>
      <c r="P271" s="505"/>
      <c r="Q271" s="491">
        <f t="shared" si="94"/>
        <v>2587</v>
      </c>
      <c r="R271" s="357">
        <f t="shared" si="95"/>
        <v>20000</v>
      </c>
      <c r="S271" s="357">
        <f t="shared" ref="S271:S281" si="96">IF(AND(M271&lt;&gt;"",M271&gt;2),R271*Q271*N271/1000,"")</f>
        <v>258700</v>
      </c>
    </row>
    <row r="272" spans="1:19">
      <c r="A272" s="489">
        <v>5</v>
      </c>
      <c r="B272" s="256" t="s">
        <v>743</v>
      </c>
      <c r="C272" s="263"/>
      <c r="D272" s="258"/>
      <c r="E272" s="258"/>
      <c r="F272" s="254">
        <f>10*120*D268</f>
        <v>27192000</v>
      </c>
      <c r="G272" s="255"/>
      <c r="I272" s="489">
        <v>5</v>
      </c>
      <c r="J272" s="355">
        <v>42923</v>
      </c>
      <c r="K272" s="355">
        <v>42930</v>
      </c>
      <c r="L272" s="356" t="s">
        <v>787</v>
      </c>
      <c r="M272" s="356">
        <f t="shared" ref="M272:M276" si="97">IF(K272&lt;&gt;"",K272-J272+1,"")</f>
        <v>8</v>
      </c>
      <c r="N272" s="356">
        <f t="shared" ref="N272:N276" si="98">IF(AND(M272&lt;&gt;"",M272&gt;2),M272-2,"")</f>
        <v>6</v>
      </c>
      <c r="O272" s="493">
        <f>412-O271</f>
        <v>213</v>
      </c>
      <c r="P272" s="505"/>
      <c r="Q272" s="491">
        <f t="shared" si="94"/>
        <v>2769</v>
      </c>
      <c r="R272" s="357">
        <f t="shared" si="95"/>
        <v>20000</v>
      </c>
      <c r="S272" s="357">
        <f t="shared" si="96"/>
        <v>332280</v>
      </c>
    </row>
    <row r="273" spans="1:20">
      <c r="A273" s="489">
        <v>6</v>
      </c>
      <c r="B273" s="256" t="s">
        <v>547</v>
      </c>
      <c r="C273" s="310"/>
      <c r="D273" s="255"/>
      <c r="E273" s="255"/>
      <c r="F273" s="255">
        <v>1100000</v>
      </c>
      <c r="G273" s="255">
        <v>1371604000</v>
      </c>
      <c r="I273" s="489">
        <v>6</v>
      </c>
      <c r="J273" s="355">
        <v>42923</v>
      </c>
      <c r="K273" s="355">
        <v>42930</v>
      </c>
      <c r="L273" s="356" t="s">
        <v>84</v>
      </c>
      <c r="M273" s="356">
        <f t="shared" si="97"/>
        <v>8</v>
      </c>
      <c r="N273" s="356">
        <f t="shared" si="98"/>
        <v>6</v>
      </c>
      <c r="O273" s="493">
        <v>448</v>
      </c>
      <c r="P273" s="505"/>
      <c r="Q273" s="491">
        <f t="shared" si="94"/>
        <v>5824</v>
      </c>
      <c r="R273" s="357">
        <f t="shared" si="95"/>
        <v>20000</v>
      </c>
      <c r="S273" s="357">
        <f t="shared" si="96"/>
        <v>698880</v>
      </c>
    </row>
    <row r="274" spans="1:20">
      <c r="A274" s="489">
        <v>7</v>
      </c>
      <c r="B274" s="256" t="s">
        <v>152</v>
      </c>
      <c r="C274" s="310"/>
      <c r="D274" s="255"/>
      <c r="E274" s="255"/>
      <c r="F274" s="255">
        <v>1100000</v>
      </c>
      <c r="G274" s="255">
        <v>2762520000</v>
      </c>
      <c r="I274" s="489">
        <v>7</v>
      </c>
      <c r="J274" s="355">
        <v>42924</v>
      </c>
      <c r="K274" s="355">
        <v>42930</v>
      </c>
      <c r="L274" s="356" t="s">
        <v>793</v>
      </c>
      <c r="M274" s="356">
        <f t="shared" si="97"/>
        <v>7</v>
      </c>
      <c r="N274" s="356">
        <f t="shared" si="98"/>
        <v>5</v>
      </c>
      <c r="O274" s="493">
        <v>2002</v>
      </c>
      <c r="P274" s="505"/>
      <c r="Q274" s="491">
        <f t="shared" si="94"/>
        <v>26026</v>
      </c>
      <c r="R274" s="357">
        <f t="shared" si="95"/>
        <v>20000</v>
      </c>
      <c r="S274" s="357">
        <f t="shared" si="96"/>
        <v>2602600</v>
      </c>
    </row>
    <row r="275" spans="1:20">
      <c r="A275" s="489">
        <v>8</v>
      </c>
      <c r="B275" s="256" t="s">
        <v>394</v>
      </c>
      <c r="C275" s="263"/>
      <c r="D275" s="258"/>
      <c r="E275" s="258"/>
      <c r="F275" s="255">
        <v>1100000</v>
      </c>
      <c r="G275" s="255">
        <v>1912587000</v>
      </c>
      <c r="I275" s="489">
        <v>8</v>
      </c>
      <c r="J275" s="355">
        <v>42924</v>
      </c>
      <c r="K275" s="355">
        <v>42930</v>
      </c>
      <c r="L275" s="356" t="s">
        <v>794</v>
      </c>
      <c r="M275" s="356">
        <f t="shared" si="97"/>
        <v>7</v>
      </c>
      <c r="N275" s="356">
        <f t="shared" si="98"/>
        <v>5</v>
      </c>
      <c r="O275" s="493">
        <v>2030</v>
      </c>
      <c r="P275" s="505"/>
      <c r="Q275" s="491">
        <f t="shared" si="94"/>
        <v>26390</v>
      </c>
      <c r="R275" s="357">
        <f t="shared" si="95"/>
        <v>20000</v>
      </c>
      <c r="S275" s="357">
        <f t="shared" si="96"/>
        <v>2639000</v>
      </c>
    </row>
    <row r="276" spans="1:20">
      <c r="A276" s="489">
        <v>9</v>
      </c>
      <c r="B276" s="256" t="s">
        <v>56</v>
      </c>
      <c r="C276" s="310"/>
      <c r="D276" s="255"/>
      <c r="E276" s="255"/>
      <c r="F276" s="255">
        <v>1100000</v>
      </c>
      <c r="G276" s="255">
        <v>2889719000</v>
      </c>
      <c r="I276" s="489">
        <v>9</v>
      </c>
      <c r="J276" s="355">
        <v>42924</v>
      </c>
      <c r="K276" s="355">
        <v>42930</v>
      </c>
      <c r="L276" s="356" t="s">
        <v>795</v>
      </c>
      <c r="M276" s="356">
        <f t="shared" si="97"/>
        <v>7</v>
      </c>
      <c r="N276" s="356">
        <f t="shared" si="98"/>
        <v>5</v>
      </c>
      <c r="O276" s="493">
        <v>2184</v>
      </c>
      <c r="P276" s="505"/>
      <c r="Q276" s="491">
        <f t="shared" si="94"/>
        <v>28392</v>
      </c>
      <c r="R276" s="357">
        <f t="shared" si="95"/>
        <v>20000</v>
      </c>
      <c r="S276" s="357">
        <f t="shared" si="96"/>
        <v>2839200</v>
      </c>
    </row>
    <row r="277" spans="1:20">
      <c r="A277" s="329"/>
      <c r="B277" s="329"/>
      <c r="C277" s="338"/>
      <c r="D277" s="258"/>
      <c r="E277" s="258"/>
      <c r="F277" s="339"/>
      <c r="G277" s="258"/>
      <c r="I277" s="489">
        <v>10</v>
      </c>
      <c r="J277" s="355">
        <v>42924</v>
      </c>
      <c r="K277" s="355">
        <v>42930</v>
      </c>
      <c r="L277" s="356" t="s">
        <v>796</v>
      </c>
      <c r="M277" s="356">
        <f t="shared" ref="M277:M281" si="99">IF(K277&lt;&gt;"",K277-J277+1,"")</f>
        <v>7</v>
      </c>
      <c r="N277" s="356">
        <f t="shared" ref="N277:N281" si="100">IF(AND(M277&lt;&gt;"",M277&gt;2),M277-2,"")</f>
        <v>5</v>
      </c>
      <c r="O277" s="493">
        <v>1243</v>
      </c>
      <c r="P277" s="505"/>
      <c r="Q277" s="491">
        <f t="shared" si="94"/>
        <v>16159</v>
      </c>
      <c r="R277" s="357">
        <f t="shared" si="95"/>
        <v>20000</v>
      </c>
      <c r="S277" s="357">
        <f t="shared" si="96"/>
        <v>1615900</v>
      </c>
    </row>
    <row r="278" spans="1:20">
      <c r="A278" s="376"/>
      <c r="B278" s="376" t="s">
        <v>57</v>
      </c>
      <c r="C278" s="377"/>
      <c r="D278" s="378"/>
      <c r="E278" s="378">
        <f>SUM(E268:E277)</f>
        <v>9507769361.2000008</v>
      </c>
      <c r="F278" s="492">
        <f>SUM(F268:F277)</f>
        <v>571339240</v>
      </c>
      <c r="G278" s="378">
        <f>SUM(G268:G277)</f>
        <v>8936430000</v>
      </c>
      <c r="I278" s="489">
        <v>11</v>
      </c>
      <c r="J278" s="355">
        <v>42924</v>
      </c>
      <c r="K278" s="355">
        <v>42931</v>
      </c>
      <c r="L278" s="356" t="s">
        <v>796</v>
      </c>
      <c r="M278" s="356">
        <f t="shared" si="99"/>
        <v>8</v>
      </c>
      <c r="N278" s="356">
        <f t="shared" si="100"/>
        <v>6</v>
      </c>
      <c r="O278" s="493">
        <f>2030-O277</f>
        <v>787</v>
      </c>
      <c r="P278" s="505"/>
      <c r="Q278" s="491">
        <f t="shared" si="94"/>
        <v>10231</v>
      </c>
      <c r="R278" s="357">
        <f t="shared" si="95"/>
        <v>20000</v>
      </c>
      <c r="S278" s="357">
        <f t="shared" si="96"/>
        <v>1227720</v>
      </c>
    </row>
    <row r="279" spans="1:20">
      <c r="I279" s="489">
        <v>12</v>
      </c>
      <c r="J279" s="355">
        <v>42925</v>
      </c>
      <c r="K279" s="355">
        <v>42931</v>
      </c>
      <c r="L279" s="356" t="s">
        <v>815</v>
      </c>
      <c r="M279" s="356">
        <f t="shared" si="99"/>
        <v>7</v>
      </c>
      <c r="N279" s="356">
        <f t="shared" si="100"/>
        <v>5</v>
      </c>
      <c r="O279" s="493">
        <v>2030</v>
      </c>
      <c r="P279" s="505"/>
      <c r="Q279" s="491">
        <f t="shared" si="94"/>
        <v>26390</v>
      </c>
      <c r="R279" s="357">
        <f t="shared" si="95"/>
        <v>20000</v>
      </c>
      <c r="S279" s="357">
        <f t="shared" si="96"/>
        <v>2639000</v>
      </c>
    </row>
    <row r="280" spans="1:20" ht="15.75">
      <c r="B280" s="162" t="s">
        <v>749</v>
      </c>
      <c r="I280" s="489">
        <v>13</v>
      </c>
      <c r="J280" s="355">
        <v>42925</v>
      </c>
      <c r="K280" s="355">
        <v>42931</v>
      </c>
      <c r="L280" s="356" t="s">
        <v>816</v>
      </c>
      <c r="M280" s="356">
        <f t="shared" si="99"/>
        <v>7</v>
      </c>
      <c r="N280" s="356">
        <f t="shared" si="100"/>
        <v>5</v>
      </c>
      <c r="O280" s="493">
        <v>2001</v>
      </c>
      <c r="P280" s="505"/>
      <c r="Q280" s="491">
        <f t="shared" si="94"/>
        <v>26013</v>
      </c>
      <c r="R280" s="357">
        <f t="shared" si="95"/>
        <v>20000</v>
      </c>
      <c r="S280" s="357">
        <f t="shared" si="96"/>
        <v>2601300</v>
      </c>
    </row>
    <row r="281" spans="1:20">
      <c r="G281" s="342">
        <f>E278-F278-G278</f>
        <v>121.20000076293945</v>
      </c>
      <c r="I281" s="489">
        <v>14</v>
      </c>
      <c r="J281" s="355">
        <v>42925</v>
      </c>
      <c r="K281" s="355">
        <v>42931</v>
      </c>
      <c r="L281" s="356" t="s">
        <v>817</v>
      </c>
      <c r="M281" s="356">
        <f t="shared" si="99"/>
        <v>7</v>
      </c>
      <c r="N281" s="356">
        <f t="shared" si="100"/>
        <v>5</v>
      </c>
      <c r="O281" s="493">
        <v>1272</v>
      </c>
      <c r="P281" s="505"/>
      <c r="Q281" s="491">
        <f t="shared" si="94"/>
        <v>16536</v>
      </c>
      <c r="R281" s="357">
        <f t="shared" si="95"/>
        <v>20000</v>
      </c>
      <c r="S281" s="357">
        <f t="shared" si="96"/>
        <v>1653600</v>
      </c>
    </row>
    <row r="282" spans="1:20">
      <c r="I282" s="489"/>
      <c r="J282" s="358"/>
      <c r="K282" s="358"/>
      <c r="L282" s="359"/>
      <c r="M282" s="359"/>
      <c r="N282" s="359"/>
      <c r="O282" s="361"/>
      <c r="P282" s="361"/>
      <c r="Q282" s="361"/>
      <c r="R282" s="360"/>
      <c r="S282" s="360"/>
    </row>
    <row r="283" spans="1:20">
      <c r="I283" s="414"/>
      <c r="J283" s="414"/>
      <c r="K283" s="414"/>
      <c r="L283" s="414" t="s">
        <v>48</v>
      </c>
      <c r="M283" s="414"/>
      <c r="N283" s="414"/>
      <c r="O283" s="413">
        <f>SUM(O268:O282)</f>
        <v>20300</v>
      </c>
      <c r="P283" s="413"/>
      <c r="Q283" s="413">
        <f>SUM(Q268:Q282)</f>
        <v>263900</v>
      </c>
      <c r="R283" s="413"/>
      <c r="S283" s="415">
        <f>SUM(S268:S282)</f>
        <v>27242540</v>
      </c>
    </row>
    <row r="285" spans="1:20">
      <c r="J285" s="352" t="s">
        <v>29</v>
      </c>
      <c r="K285" s="353"/>
      <c r="L285" s="354"/>
      <c r="M285" s="353"/>
      <c r="N285" s="353"/>
      <c r="O285" s="353"/>
      <c r="P285" s="353"/>
      <c r="Q285" s="353"/>
      <c r="R285" s="353"/>
      <c r="S285" s="353"/>
    </row>
    <row r="286" spans="1:20" ht="29.25" customHeight="1">
      <c r="A286" s="803" t="s">
        <v>0</v>
      </c>
      <c r="B286" s="803" t="s">
        <v>21</v>
      </c>
      <c r="C286" s="855" t="s">
        <v>50</v>
      </c>
      <c r="D286" s="815" t="s">
        <v>51</v>
      </c>
      <c r="E286" s="815" t="s">
        <v>9</v>
      </c>
      <c r="F286" s="815" t="s">
        <v>117</v>
      </c>
      <c r="G286" s="815" t="s">
        <v>52</v>
      </c>
      <c r="I286" s="803" t="s">
        <v>0</v>
      </c>
      <c r="J286" s="803" t="s">
        <v>30</v>
      </c>
      <c r="K286" s="803" t="s">
        <v>31</v>
      </c>
      <c r="L286" s="803" t="s">
        <v>103</v>
      </c>
      <c r="M286" s="803" t="s">
        <v>32</v>
      </c>
      <c r="N286" s="803" t="s">
        <v>573</v>
      </c>
      <c r="O286" s="919" t="s">
        <v>83</v>
      </c>
      <c r="P286" s="920"/>
      <c r="Q286" s="813" t="s">
        <v>33</v>
      </c>
      <c r="R286" s="815" t="s">
        <v>106</v>
      </c>
      <c r="S286" s="815" t="s">
        <v>9</v>
      </c>
      <c r="T286" s="815" t="s">
        <v>82</v>
      </c>
    </row>
    <row r="287" spans="1:20" ht="25.5" customHeight="1">
      <c r="A287" s="803"/>
      <c r="B287" s="803"/>
      <c r="C287" s="855"/>
      <c r="D287" s="815"/>
      <c r="E287" s="815"/>
      <c r="F287" s="815"/>
      <c r="G287" s="815"/>
      <c r="I287" s="803"/>
      <c r="J287" s="803"/>
      <c r="K287" s="803"/>
      <c r="L287" s="803"/>
      <c r="M287" s="803"/>
      <c r="N287" s="803"/>
      <c r="O287" s="509" t="s">
        <v>846</v>
      </c>
      <c r="P287" s="509" t="s">
        <v>847</v>
      </c>
      <c r="Q287" s="814"/>
      <c r="R287" s="815"/>
      <c r="S287" s="815"/>
      <c r="T287" s="815"/>
    </row>
    <row r="288" spans="1:20">
      <c r="A288" s="356">
        <v>1</v>
      </c>
      <c r="B288" s="264" t="s">
        <v>844</v>
      </c>
      <c r="C288" s="510">
        <v>419583.82</v>
      </c>
      <c r="D288" s="511">
        <v>22660</v>
      </c>
      <c r="E288" s="511">
        <f>C288*D288</f>
        <v>9507769361.2000008</v>
      </c>
      <c r="F288" s="512"/>
      <c r="G288" s="511"/>
      <c r="I288" s="356">
        <v>1</v>
      </c>
      <c r="J288" s="513">
        <v>42925</v>
      </c>
      <c r="K288" s="513">
        <v>42938</v>
      </c>
      <c r="L288" s="356" t="s">
        <v>817</v>
      </c>
      <c r="M288" s="356">
        <f t="shared" ref="M288:M289" si="101">IF(K288&lt;&gt;"",K288-J288+1,"")</f>
        <v>14</v>
      </c>
      <c r="N288" s="356">
        <f t="shared" ref="N288:N289" si="102">IF(AND(M288&lt;&gt;"",M288&gt;2),M288-2,"")</f>
        <v>12</v>
      </c>
      <c r="O288" s="493">
        <f>903</f>
        <v>903</v>
      </c>
      <c r="P288" s="505">
        <f>IF(K288&lt;&gt;"",O288,0)</f>
        <v>903</v>
      </c>
      <c r="Q288" s="507">
        <f t="shared" ref="Q288:Q289" si="103">O288*13</f>
        <v>11739</v>
      </c>
      <c r="R288" s="357">
        <f t="shared" ref="R288:R289" si="104">IF(AND(M288&lt;&gt;"",M288&gt;2),20000,0)</f>
        <v>20000</v>
      </c>
      <c r="S288" s="357">
        <f t="shared" ref="S288:S289" si="105">IF(AND(M288&lt;&gt;"",M288&gt;2),R288*Q288*N288/1000,"")</f>
        <v>2817360</v>
      </c>
      <c r="T288" s="357"/>
    </row>
    <row r="289" spans="1:20">
      <c r="A289" s="489">
        <v>2</v>
      </c>
      <c r="B289" s="253" t="s">
        <v>123</v>
      </c>
      <c r="C289" s="310"/>
      <c r="D289" s="255"/>
      <c r="E289" s="255"/>
      <c r="F289" s="254">
        <v>2504700</v>
      </c>
      <c r="G289" s="255"/>
      <c r="I289" s="489">
        <v>2</v>
      </c>
      <c r="J289" s="355">
        <v>42926</v>
      </c>
      <c r="K289" s="513">
        <v>42938</v>
      </c>
      <c r="L289" s="356" t="s">
        <v>818</v>
      </c>
      <c r="M289" s="356">
        <f t="shared" si="101"/>
        <v>13</v>
      </c>
      <c r="N289" s="356">
        <f t="shared" si="102"/>
        <v>11</v>
      </c>
      <c r="O289" s="507">
        <v>943</v>
      </c>
      <c r="P289" s="507">
        <f t="shared" ref="P289" si="106">IF(K289&lt;&gt;"",O289,0)</f>
        <v>943</v>
      </c>
      <c r="Q289" s="508">
        <f t="shared" si="103"/>
        <v>12259</v>
      </c>
      <c r="R289" s="357">
        <f t="shared" si="104"/>
        <v>20000</v>
      </c>
      <c r="S289" s="357">
        <f t="shared" si="105"/>
        <v>2696980</v>
      </c>
      <c r="T289" s="357"/>
    </row>
    <row r="290" spans="1:20">
      <c r="A290" s="489">
        <v>3</v>
      </c>
      <c r="B290" s="253" t="s">
        <v>849</v>
      </c>
      <c r="C290" s="310"/>
      <c r="D290" s="255"/>
      <c r="E290" s="255"/>
      <c r="F290" s="255">
        <f>6*51000000</f>
        <v>306000000</v>
      </c>
      <c r="G290" s="255"/>
      <c r="I290" s="489">
        <v>3</v>
      </c>
      <c r="J290" s="355">
        <v>42926</v>
      </c>
      <c r="K290" s="513">
        <v>42939</v>
      </c>
      <c r="L290" s="356" t="s">
        <v>818</v>
      </c>
      <c r="M290" s="356">
        <f t="shared" ref="M290:M292" si="107">IF(K290&lt;&gt;"",K290-J290+1,"")</f>
        <v>14</v>
      </c>
      <c r="N290" s="356">
        <f t="shared" ref="N290:N292" si="108">IF(AND(M290&lt;&gt;"",M290&gt;2),M290-2,"")</f>
        <v>12</v>
      </c>
      <c r="O290" s="507">
        <f>1980-O289</f>
        <v>1037</v>
      </c>
      <c r="P290" s="507">
        <f t="shared" ref="P290:P292" si="109">IF(K290&lt;&gt;"",O290,0)</f>
        <v>1037</v>
      </c>
      <c r="Q290" s="508">
        <f t="shared" ref="Q290:Q292" si="110">O290*13</f>
        <v>13481</v>
      </c>
      <c r="R290" s="357">
        <f t="shared" ref="R290:R292" si="111">IF(AND(M290&lt;&gt;"",M290&gt;2),20000,0)</f>
        <v>20000</v>
      </c>
      <c r="S290" s="357">
        <f t="shared" ref="S290:S292" si="112">IF(AND(M290&lt;&gt;"",M290&gt;2),R290*Q290*N290/1000,"")</f>
        <v>3235440</v>
      </c>
      <c r="T290" s="357"/>
    </row>
    <row r="291" spans="1:20">
      <c r="A291" s="489">
        <v>4</v>
      </c>
      <c r="B291" s="253" t="s">
        <v>391</v>
      </c>
      <c r="C291" s="310"/>
      <c r="D291" s="255"/>
      <c r="E291" s="255"/>
      <c r="F291" s="255">
        <f>S346</f>
        <v>16550560</v>
      </c>
      <c r="G291" s="255"/>
      <c r="I291" s="489">
        <v>4</v>
      </c>
      <c r="J291" s="355">
        <v>42926</v>
      </c>
      <c r="K291" s="513">
        <v>42939</v>
      </c>
      <c r="L291" s="356" t="s">
        <v>819</v>
      </c>
      <c r="M291" s="356">
        <f t="shared" si="107"/>
        <v>14</v>
      </c>
      <c r="N291" s="356">
        <f t="shared" si="108"/>
        <v>12</v>
      </c>
      <c r="O291" s="507">
        <v>2028</v>
      </c>
      <c r="P291" s="507">
        <f t="shared" si="109"/>
        <v>2028</v>
      </c>
      <c r="Q291" s="508">
        <f t="shared" si="110"/>
        <v>26364</v>
      </c>
      <c r="R291" s="357">
        <f t="shared" si="111"/>
        <v>20000</v>
      </c>
      <c r="S291" s="357">
        <f t="shared" si="112"/>
        <v>6327360</v>
      </c>
      <c r="T291" s="357"/>
    </row>
    <row r="292" spans="1:20">
      <c r="A292" s="489">
        <v>5</v>
      </c>
      <c r="B292" s="256" t="s">
        <v>743</v>
      </c>
      <c r="C292" s="263"/>
      <c r="D292" s="258"/>
      <c r="E292" s="258"/>
      <c r="F292" s="254">
        <f>6*120*D288</f>
        <v>16315200</v>
      </c>
      <c r="G292" s="255"/>
      <c r="I292" s="489">
        <v>5</v>
      </c>
      <c r="J292" s="355">
        <v>42929</v>
      </c>
      <c r="K292" s="513">
        <v>42939</v>
      </c>
      <c r="L292" s="356" t="s">
        <v>820</v>
      </c>
      <c r="M292" s="356">
        <f t="shared" si="107"/>
        <v>11</v>
      </c>
      <c r="N292" s="356">
        <f t="shared" si="108"/>
        <v>9</v>
      </c>
      <c r="O292" s="507">
        <v>545</v>
      </c>
      <c r="P292" s="507">
        <f t="shared" si="109"/>
        <v>545</v>
      </c>
      <c r="Q292" s="508">
        <f t="shared" si="110"/>
        <v>7085</v>
      </c>
      <c r="R292" s="357">
        <f t="shared" si="111"/>
        <v>20000</v>
      </c>
      <c r="S292" s="357">
        <f t="shared" si="112"/>
        <v>1275300</v>
      </c>
      <c r="T292" s="357"/>
    </row>
    <row r="293" spans="1:20">
      <c r="A293" s="489">
        <v>6</v>
      </c>
      <c r="B293" s="256" t="s">
        <v>400</v>
      </c>
      <c r="C293" s="310"/>
      <c r="D293" s="255"/>
      <c r="E293" s="255"/>
      <c r="F293" s="255">
        <v>1100000</v>
      </c>
      <c r="G293" s="255">
        <v>1361230000</v>
      </c>
      <c r="I293" s="489">
        <v>6</v>
      </c>
      <c r="J293" s="355">
        <v>42929</v>
      </c>
      <c r="K293" s="355"/>
      <c r="L293" s="356" t="s">
        <v>820</v>
      </c>
      <c r="M293" s="356" t="str">
        <f t="shared" ref="M293:M325" si="113">IF(K293&lt;&gt;"",K293-J293+1,"")</f>
        <v/>
      </c>
      <c r="N293" s="356" t="str">
        <f t="shared" ref="N293:N325" si="114">IF(AND(M293&lt;&gt;"",M293&gt;2),M293-2,"")</f>
        <v/>
      </c>
      <c r="O293" s="507">
        <f>2050-O292</f>
        <v>1505</v>
      </c>
      <c r="P293" s="507">
        <f t="shared" ref="P293:P325" si="115">IF(K293&lt;&gt;"",O293,0)</f>
        <v>0</v>
      </c>
      <c r="Q293" s="508">
        <f t="shared" ref="Q293:Q325" si="116">O293*13</f>
        <v>19565</v>
      </c>
      <c r="R293" s="357">
        <f t="shared" ref="R293:R325" si="117">IF(AND(M293&lt;&gt;"",M293&gt;2),20000,0)</f>
        <v>0</v>
      </c>
      <c r="S293" s="357" t="str">
        <f t="shared" ref="S293:S342" si="118">IF(AND(M293&lt;&gt;"",M293&gt;2),R293*Q293*N293/1000,"")</f>
        <v/>
      </c>
      <c r="T293" s="357"/>
    </row>
    <row r="294" spans="1:20">
      <c r="A294" s="489">
        <v>7</v>
      </c>
      <c r="B294" s="256" t="s">
        <v>401</v>
      </c>
      <c r="C294" s="310"/>
      <c r="D294" s="255"/>
      <c r="E294" s="255"/>
      <c r="F294" s="255">
        <v>1100000</v>
      </c>
      <c r="G294" s="255">
        <v>1036773000</v>
      </c>
      <c r="I294" s="489">
        <v>7</v>
      </c>
      <c r="J294" s="355">
        <v>42929</v>
      </c>
      <c r="K294" s="355"/>
      <c r="L294" s="356" t="s">
        <v>144</v>
      </c>
      <c r="M294" s="356" t="str">
        <f t="shared" si="113"/>
        <v/>
      </c>
      <c r="N294" s="356" t="str">
        <f t="shared" si="114"/>
        <v/>
      </c>
      <c r="O294" s="507">
        <v>2054</v>
      </c>
      <c r="P294" s="507">
        <f t="shared" si="115"/>
        <v>0</v>
      </c>
      <c r="Q294" s="508">
        <f t="shared" si="116"/>
        <v>26702</v>
      </c>
      <c r="R294" s="357">
        <f t="shared" si="117"/>
        <v>0</v>
      </c>
      <c r="S294" s="357" t="str">
        <f t="shared" si="118"/>
        <v/>
      </c>
      <c r="T294" s="357"/>
    </row>
    <row r="295" spans="1:20">
      <c r="A295" s="489">
        <v>8</v>
      </c>
      <c r="B295" s="256" t="s">
        <v>547</v>
      </c>
      <c r="C295" s="263"/>
      <c r="D295" s="258"/>
      <c r="E295" s="258"/>
      <c r="F295" s="255">
        <v>1100000</v>
      </c>
      <c r="G295" s="255">
        <v>2691117000</v>
      </c>
      <c r="I295" s="489">
        <v>8</v>
      </c>
      <c r="J295" s="355">
        <v>42930</v>
      </c>
      <c r="K295" s="355"/>
      <c r="L295" s="356" t="s">
        <v>282</v>
      </c>
      <c r="M295" s="356" t="str">
        <f t="shared" si="113"/>
        <v/>
      </c>
      <c r="N295" s="356" t="str">
        <f t="shared" si="114"/>
        <v/>
      </c>
      <c r="O295" s="507">
        <v>598</v>
      </c>
      <c r="P295" s="507">
        <f t="shared" si="115"/>
        <v>0</v>
      </c>
      <c r="Q295" s="508">
        <f t="shared" si="116"/>
        <v>7774</v>
      </c>
      <c r="R295" s="357">
        <f t="shared" si="117"/>
        <v>0</v>
      </c>
      <c r="S295" s="357" t="str">
        <f t="shared" si="118"/>
        <v/>
      </c>
      <c r="T295" s="357"/>
    </row>
    <row r="296" spans="1:20">
      <c r="A296" s="489">
        <v>9</v>
      </c>
      <c r="B296" s="256" t="s">
        <v>152</v>
      </c>
      <c r="C296" s="310"/>
      <c r="D296" s="255"/>
      <c r="E296" s="255"/>
      <c r="F296" s="255">
        <v>1100000</v>
      </c>
      <c r="G296" s="255">
        <v>1345890000</v>
      </c>
      <c r="I296" s="489">
        <v>9</v>
      </c>
      <c r="J296" s="355">
        <v>42930</v>
      </c>
      <c r="K296" s="355"/>
      <c r="L296" s="356" t="s">
        <v>821</v>
      </c>
      <c r="M296" s="356" t="str">
        <f t="shared" si="113"/>
        <v/>
      </c>
      <c r="N296" s="356" t="str">
        <f t="shared" si="114"/>
        <v/>
      </c>
      <c r="O296" s="507">
        <v>408</v>
      </c>
      <c r="P296" s="507">
        <f t="shared" si="115"/>
        <v>0</v>
      </c>
      <c r="Q296" s="508">
        <f t="shared" si="116"/>
        <v>5304</v>
      </c>
      <c r="R296" s="357">
        <f t="shared" si="117"/>
        <v>0</v>
      </c>
      <c r="S296" s="357" t="str">
        <f t="shared" si="118"/>
        <v/>
      </c>
      <c r="T296" s="357"/>
    </row>
    <row r="297" spans="1:20">
      <c r="A297" s="489">
        <v>10</v>
      </c>
      <c r="B297" s="256" t="s">
        <v>394</v>
      </c>
      <c r="C297" s="263"/>
      <c r="D297" s="258"/>
      <c r="E297" s="258"/>
      <c r="F297" s="255">
        <v>1100000</v>
      </c>
      <c r="G297" s="258">
        <v>2709455000</v>
      </c>
      <c r="I297" s="489">
        <v>10</v>
      </c>
      <c r="J297" s="355">
        <v>42931</v>
      </c>
      <c r="K297" s="355"/>
      <c r="L297" s="356" t="s">
        <v>822</v>
      </c>
      <c r="M297" s="356" t="str">
        <f t="shared" si="113"/>
        <v/>
      </c>
      <c r="N297" s="356" t="str">
        <f t="shared" si="114"/>
        <v/>
      </c>
      <c r="O297" s="507">
        <v>450</v>
      </c>
      <c r="P297" s="507">
        <f t="shared" si="115"/>
        <v>0</v>
      </c>
      <c r="Q297" s="508">
        <f t="shared" si="116"/>
        <v>5850</v>
      </c>
      <c r="R297" s="357">
        <f t="shared" si="117"/>
        <v>0</v>
      </c>
      <c r="S297" s="357" t="str">
        <f t="shared" si="118"/>
        <v/>
      </c>
      <c r="T297" s="357"/>
    </row>
    <row r="298" spans="1:20">
      <c r="A298" s="329"/>
      <c r="B298" s="329"/>
      <c r="C298" s="338"/>
      <c r="D298" s="258"/>
      <c r="E298" s="258"/>
      <c r="F298" s="339"/>
      <c r="G298" s="258"/>
      <c r="I298" s="489">
        <v>11</v>
      </c>
      <c r="J298" s="355">
        <v>42931</v>
      </c>
      <c r="K298" s="355"/>
      <c r="L298" s="356" t="s">
        <v>823</v>
      </c>
      <c r="M298" s="356" t="str">
        <f t="shared" si="113"/>
        <v/>
      </c>
      <c r="N298" s="356" t="str">
        <f t="shared" si="114"/>
        <v/>
      </c>
      <c r="O298" s="507">
        <v>430</v>
      </c>
      <c r="P298" s="507">
        <f t="shared" si="115"/>
        <v>0</v>
      </c>
      <c r="Q298" s="508">
        <f t="shared" si="116"/>
        <v>5590</v>
      </c>
      <c r="R298" s="357">
        <f t="shared" si="117"/>
        <v>0</v>
      </c>
      <c r="S298" s="357" t="str">
        <f t="shared" si="118"/>
        <v/>
      </c>
      <c r="T298" s="357"/>
    </row>
    <row r="299" spans="1:20">
      <c r="A299" s="376"/>
      <c r="B299" s="376" t="s">
        <v>57</v>
      </c>
      <c r="C299" s="377"/>
      <c r="D299" s="378"/>
      <c r="E299" s="378">
        <f>SUM(E288:E298)</f>
        <v>9507769361.2000008</v>
      </c>
      <c r="F299" s="496">
        <f>SUM(F288:F298)</f>
        <v>346870460</v>
      </c>
      <c r="G299" s="378">
        <f>SUM(G288:G298)</f>
        <v>9144465000</v>
      </c>
      <c r="I299" s="489">
        <v>12</v>
      </c>
      <c r="J299" s="355">
        <v>42931</v>
      </c>
      <c r="K299" s="355"/>
      <c r="L299" s="356" t="s">
        <v>824</v>
      </c>
      <c r="M299" s="356" t="str">
        <f t="shared" si="113"/>
        <v/>
      </c>
      <c r="N299" s="356" t="str">
        <f t="shared" si="114"/>
        <v/>
      </c>
      <c r="O299" s="507">
        <v>450</v>
      </c>
      <c r="P299" s="507">
        <f t="shared" si="115"/>
        <v>0</v>
      </c>
      <c r="Q299" s="508">
        <f t="shared" si="116"/>
        <v>5850</v>
      </c>
      <c r="R299" s="357">
        <f t="shared" si="117"/>
        <v>0</v>
      </c>
      <c r="S299" s="357" t="str">
        <f t="shared" si="118"/>
        <v/>
      </c>
      <c r="T299" s="357"/>
    </row>
    <row r="300" spans="1:20">
      <c r="I300" s="489">
        <v>13</v>
      </c>
      <c r="J300" s="355">
        <v>42931</v>
      </c>
      <c r="K300" s="355"/>
      <c r="L300" s="356" t="s">
        <v>825</v>
      </c>
      <c r="M300" s="356" t="str">
        <f t="shared" si="113"/>
        <v/>
      </c>
      <c r="N300" s="356" t="str">
        <f t="shared" si="114"/>
        <v/>
      </c>
      <c r="O300" s="507">
        <v>600</v>
      </c>
      <c r="P300" s="507">
        <f t="shared" si="115"/>
        <v>0</v>
      </c>
      <c r="Q300" s="508">
        <f t="shared" si="116"/>
        <v>7800</v>
      </c>
      <c r="R300" s="357">
        <f t="shared" si="117"/>
        <v>0</v>
      </c>
      <c r="S300" s="357" t="str">
        <f t="shared" si="118"/>
        <v/>
      </c>
      <c r="T300" s="357"/>
    </row>
    <row r="301" spans="1:20" ht="15.75">
      <c r="B301" s="162" t="s">
        <v>749</v>
      </c>
      <c r="I301" s="489">
        <v>14</v>
      </c>
      <c r="J301" s="355">
        <v>42931</v>
      </c>
      <c r="K301" s="355"/>
      <c r="L301" s="356" t="s">
        <v>186</v>
      </c>
      <c r="M301" s="356" t="str">
        <f t="shared" si="113"/>
        <v/>
      </c>
      <c r="N301" s="356" t="str">
        <f t="shared" si="114"/>
        <v/>
      </c>
      <c r="O301" s="507">
        <v>229</v>
      </c>
      <c r="P301" s="507">
        <f t="shared" si="115"/>
        <v>0</v>
      </c>
      <c r="Q301" s="508">
        <f t="shared" si="116"/>
        <v>2977</v>
      </c>
      <c r="R301" s="357">
        <f t="shared" si="117"/>
        <v>0</v>
      </c>
      <c r="S301" s="357" t="str">
        <f t="shared" si="118"/>
        <v/>
      </c>
      <c r="T301" s="357"/>
    </row>
    <row r="302" spans="1:20">
      <c r="G302" s="342">
        <f>E299-F299-G299</f>
        <v>16433901.200000763</v>
      </c>
      <c r="I302" s="489">
        <v>15</v>
      </c>
      <c r="J302" s="355">
        <v>42931</v>
      </c>
      <c r="K302" s="355"/>
      <c r="L302" s="356" t="s">
        <v>186</v>
      </c>
      <c r="M302" s="356" t="str">
        <f t="shared" si="113"/>
        <v/>
      </c>
      <c r="N302" s="356" t="str">
        <f t="shared" si="114"/>
        <v/>
      </c>
      <c r="O302" s="507">
        <f>744-O301</f>
        <v>515</v>
      </c>
      <c r="P302" s="507">
        <f t="shared" si="115"/>
        <v>0</v>
      </c>
      <c r="Q302" s="508">
        <f t="shared" si="116"/>
        <v>6695</v>
      </c>
      <c r="R302" s="357">
        <f t="shared" si="117"/>
        <v>0</v>
      </c>
      <c r="S302" s="357" t="str">
        <f t="shared" si="118"/>
        <v/>
      </c>
      <c r="T302" s="357"/>
    </row>
    <row r="303" spans="1:20" ht="14.25" customHeight="1">
      <c r="I303" s="489">
        <v>16</v>
      </c>
      <c r="J303" s="355">
        <v>42931</v>
      </c>
      <c r="K303" s="355"/>
      <c r="L303" s="356" t="s">
        <v>826</v>
      </c>
      <c r="M303" s="356" t="str">
        <f t="shared" si="113"/>
        <v/>
      </c>
      <c r="N303" s="356" t="str">
        <f t="shared" si="114"/>
        <v/>
      </c>
      <c r="O303" s="507">
        <v>534</v>
      </c>
      <c r="P303" s="507">
        <f t="shared" si="115"/>
        <v>0</v>
      </c>
      <c r="Q303" s="508">
        <f t="shared" si="116"/>
        <v>6942</v>
      </c>
      <c r="R303" s="357">
        <f t="shared" si="117"/>
        <v>0</v>
      </c>
      <c r="S303" s="357" t="str">
        <f t="shared" si="118"/>
        <v/>
      </c>
      <c r="T303" s="357"/>
    </row>
    <row r="304" spans="1:20" ht="14.25" customHeight="1">
      <c r="I304" s="489">
        <v>17</v>
      </c>
      <c r="J304" s="355">
        <v>42933</v>
      </c>
      <c r="K304" s="355"/>
      <c r="L304" s="356" t="s">
        <v>828</v>
      </c>
      <c r="M304" s="356" t="str">
        <f t="shared" si="113"/>
        <v/>
      </c>
      <c r="N304" s="356" t="str">
        <f t="shared" si="114"/>
        <v/>
      </c>
      <c r="O304" s="507">
        <v>310</v>
      </c>
      <c r="P304" s="507">
        <f t="shared" si="115"/>
        <v>0</v>
      </c>
      <c r="Q304" s="508">
        <f t="shared" si="116"/>
        <v>4030</v>
      </c>
      <c r="R304" s="357">
        <f t="shared" si="117"/>
        <v>0</v>
      </c>
      <c r="S304" s="357" t="str">
        <f t="shared" si="118"/>
        <v/>
      </c>
      <c r="T304" s="357"/>
    </row>
    <row r="305" spans="9:20" ht="14.25" customHeight="1">
      <c r="I305" s="489">
        <v>18</v>
      </c>
      <c r="J305" s="355">
        <v>42933</v>
      </c>
      <c r="K305" s="355"/>
      <c r="L305" s="356" t="s">
        <v>830</v>
      </c>
      <c r="M305" s="356" t="str">
        <f t="shared" si="113"/>
        <v/>
      </c>
      <c r="N305" s="356" t="str">
        <f t="shared" si="114"/>
        <v/>
      </c>
      <c r="O305" s="507">
        <f>524-450</f>
        <v>74</v>
      </c>
      <c r="P305" s="507">
        <f t="shared" si="115"/>
        <v>0</v>
      </c>
      <c r="Q305" s="508">
        <f t="shared" si="116"/>
        <v>962</v>
      </c>
      <c r="R305" s="357">
        <f t="shared" si="117"/>
        <v>0</v>
      </c>
      <c r="S305" s="357" t="str">
        <f t="shared" si="118"/>
        <v/>
      </c>
      <c r="T305" s="357"/>
    </row>
    <row r="306" spans="9:20" ht="14.25" customHeight="1">
      <c r="I306" s="489">
        <v>19</v>
      </c>
      <c r="J306" s="355">
        <v>42934</v>
      </c>
      <c r="K306" s="355"/>
      <c r="L306" s="356" t="s">
        <v>829</v>
      </c>
      <c r="M306" s="356" t="str">
        <f t="shared" si="113"/>
        <v/>
      </c>
      <c r="N306" s="356" t="str">
        <f t="shared" si="114"/>
        <v/>
      </c>
      <c r="O306" s="507">
        <v>250</v>
      </c>
      <c r="P306" s="507">
        <f t="shared" si="115"/>
        <v>0</v>
      </c>
      <c r="Q306" s="508">
        <f t="shared" si="116"/>
        <v>3250</v>
      </c>
      <c r="R306" s="357">
        <f t="shared" si="117"/>
        <v>0</v>
      </c>
      <c r="S306" s="357" t="str">
        <f t="shared" si="118"/>
        <v/>
      </c>
      <c r="T306" s="357"/>
    </row>
    <row r="307" spans="9:20" ht="14.25" customHeight="1">
      <c r="I307" s="489">
        <v>20</v>
      </c>
      <c r="J307" s="355">
        <v>42934</v>
      </c>
      <c r="K307" s="355"/>
      <c r="L307" s="356" t="s">
        <v>370</v>
      </c>
      <c r="M307" s="356" t="str">
        <f t="shared" si="113"/>
        <v/>
      </c>
      <c r="N307" s="356" t="str">
        <f t="shared" si="114"/>
        <v/>
      </c>
      <c r="O307" s="507">
        <v>451</v>
      </c>
      <c r="P307" s="507">
        <f t="shared" si="115"/>
        <v>0</v>
      </c>
      <c r="Q307" s="508">
        <f t="shared" si="116"/>
        <v>5863</v>
      </c>
      <c r="R307" s="357">
        <f t="shared" si="117"/>
        <v>0</v>
      </c>
      <c r="S307" s="357" t="str">
        <f t="shared" si="118"/>
        <v/>
      </c>
      <c r="T307" s="357"/>
    </row>
    <row r="308" spans="9:20" ht="14.25" customHeight="1">
      <c r="I308" s="489">
        <v>21</v>
      </c>
      <c r="J308" s="355">
        <v>42934</v>
      </c>
      <c r="K308" s="355"/>
      <c r="L308" s="356" t="s">
        <v>92</v>
      </c>
      <c r="M308" s="356" t="str">
        <f t="shared" si="113"/>
        <v/>
      </c>
      <c r="N308" s="356" t="str">
        <f t="shared" si="114"/>
        <v/>
      </c>
      <c r="O308" s="507">
        <v>338</v>
      </c>
      <c r="P308" s="507">
        <f t="shared" si="115"/>
        <v>0</v>
      </c>
      <c r="Q308" s="508">
        <f t="shared" si="116"/>
        <v>4394</v>
      </c>
      <c r="R308" s="357">
        <f t="shared" si="117"/>
        <v>0</v>
      </c>
      <c r="S308" s="357" t="str">
        <f t="shared" si="118"/>
        <v/>
      </c>
      <c r="T308" s="357"/>
    </row>
    <row r="309" spans="9:20" ht="14.25" customHeight="1">
      <c r="I309" s="489">
        <v>22</v>
      </c>
      <c r="J309" s="355">
        <v>42934</v>
      </c>
      <c r="K309" s="355"/>
      <c r="L309" s="356" t="s">
        <v>821</v>
      </c>
      <c r="M309" s="356" t="str">
        <f t="shared" si="113"/>
        <v/>
      </c>
      <c r="N309" s="356" t="str">
        <f t="shared" si="114"/>
        <v/>
      </c>
      <c r="O309" s="507">
        <v>450</v>
      </c>
      <c r="P309" s="507">
        <f t="shared" si="115"/>
        <v>0</v>
      </c>
      <c r="Q309" s="508">
        <f t="shared" si="116"/>
        <v>5850</v>
      </c>
      <c r="R309" s="357">
        <f t="shared" si="117"/>
        <v>0</v>
      </c>
      <c r="S309" s="357" t="str">
        <f t="shared" si="118"/>
        <v/>
      </c>
      <c r="T309" s="357"/>
    </row>
    <row r="310" spans="9:20" ht="14.25" customHeight="1">
      <c r="I310" s="489">
        <v>23</v>
      </c>
      <c r="J310" s="355">
        <v>42934</v>
      </c>
      <c r="K310" s="355"/>
      <c r="L310" s="356" t="s">
        <v>686</v>
      </c>
      <c r="M310" s="356" t="str">
        <f t="shared" si="113"/>
        <v/>
      </c>
      <c r="N310" s="356" t="str">
        <f t="shared" si="114"/>
        <v/>
      </c>
      <c r="O310" s="507">
        <v>512</v>
      </c>
      <c r="P310" s="507">
        <f t="shared" si="115"/>
        <v>0</v>
      </c>
      <c r="Q310" s="508">
        <f t="shared" si="116"/>
        <v>6656</v>
      </c>
      <c r="R310" s="357">
        <f t="shared" si="117"/>
        <v>0</v>
      </c>
      <c r="S310" s="357" t="str">
        <f t="shared" si="118"/>
        <v/>
      </c>
      <c r="T310" s="357"/>
    </row>
    <row r="311" spans="9:20" ht="14.25" customHeight="1">
      <c r="I311" s="489">
        <v>24</v>
      </c>
      <c r="J311" s="355">
        <v>42935</v>
      </c>
      <c r="K311" s="355"/>
      <c r="L311" s="356" t="s">
        <v>823</v>
      </c>
      <c r="M311" s="356" t="str">
        <f t="shared" si="113"/>
        <v/>
      </c>
      <c r="N311" s="356" t="str">
        <f t="shared" si="114"/>
        <v/>
      </c>
      <c r="O311" s="507">
        <v>450</v>
      </c>
      <c r="P311" s="507">
        <f t="shared" si="115"/>
        <v>0</v>
      </c>
      <c r="Q311" s="508">
        <f t="shared" si="116"/>
        <v>5850</v>
      </c>
      <c r="R311" s="357">
        <f t="shared" si="117"/>
        <v>0</v>
      </c>
      <c r="S311" s="357" t="str">
        <f t="shared" si="118"/>
        <v/>
      </c>
      <c r="T311" s="357"/>
    </row>
    <row r="312" spans="9:20" ht="14.25" customHeight="1">
      <c r="I312" s="489">
        <v>25</v>
      </c>
      <c r="J312" s="355">
        <v>42935</v>
      </c>
      <c r="K312" s="355"/>
      <c r="L312" s="356" t="s">
        <v>831</v>
      </c>
      <c r="M312" s="356" t="str">
        <f t="shared" si="113"/>
        <v/>
      </c>
      <c r="N312" s="356" t="str">
        <f t="shared" si="114"/>
        <v/>
      </c>
      <c r="O312" s="507">
        <v>450</v>
      </c>
      <c r="P312" s="507">
        <f t="shared" si="115"/>
        <v>0</v>
      </c>
      <c r="Q312" s="508">
        <f t="shared" si="116"/>
        <v>5850</v>
      </c>
      <c r="R312" s="357">
        <f t="shared" si="117"/>
        <v>0</v>
      </c>
      <c r="S312" s="357" t="str">
        <f t="shared" si="118"/>
        <v/>
      </c>
      <c r="T312" s="357"/>
    </row>
    <row r="313" spans="9:20" ht="14.25" customHeight="1">
      <c r="I313" s="489">
        <v>26</v>
      </c>
      <c r="J313" s="355">
        <v>42935</v>
      </c>
      <c r="K313" s="355"/>
      <c r="L313" s="356" t="s">
        <v>93</v>
      </c>
      <c r="M313" s="356" t="str">
        <f t="shared" si="113"/>
        <v/>
      </c>
      <c r="N313" s="356" t="str">
        <f t="shared" si="114"/>
        <v/>
      </c>
      <c r="O313" s="507">
        <v>460</v>
      </c>
      <c r="P313" s="507">
        <f t="shared" si="115"/>
        <v>0</v>
      </c>
      <c r="Q313" s="508">
        <f t="shared" si="116"/>
        <v>5980</v>
      </c>
      <c r="R313" s="357">
        <f t="shared" si="117"/>
        <v>0</v>
      </c>
      <c r="S313" s="357" t="str">
        <f t="shared" si="118"/>
        <v/>
      </c>
      <c r="T313" s="357"/>
    </row>
    <row r="314" spans="9:20" ht="14.25" customHeight="1">
      <c r="I314" s="489">
        <v>27</v>
      </c>
      <c r="J314" s="355">
        <v>42935</v>
      </c>
      <c r="K314" s="355"/>
      <c r="L314" s="356" t="s">
        <v>832</v>
      </c>
      <c r="M314" s="356" t="str">
        <f t="shared" si="113"/>
        <v/>
      </c>
      <c r="N314" s="356" t="str">
        <f t="shared" si="114"/>
        <v/>
      </c>
      <c r="O314" s="507">
        <v>604</v>
      </c>
      <c r="P314" s="507">
        <f t="shared" si="115"/>
        <v>0</v>
      </c>
      <c r="Q314" s="508">
        <f t="shared" si="116"/>
        <v>7852</v>
      </c>
      <c r="R314" s="357">
        <f t="shared" si="117"/>
        <v>0</v>
      </c>
      <c r="S314" s="357" t="str">
        <f t="shared" si="118"/>
        <v/>
      </c>
      <c r="T314" s="357"/>
    </row>
    <row r="315" spans="9:20" ht="14.25" customHeight="1">
      <c r="I315" s="489">
        <v>28</v>
      </c>
      <c r="J315" s="355">
        <v>42935</v>
      </c>
      <c r="K315" s="355"/>
      <c r="L315" s="356" t="s">
        <v>186</v>
      </c>
      <c r="M315" s="356" t="str">
        <f t="shared" si="113"/>
        <v/>
      </c>
      <c r="N315" s="356" t="str">
        <f t="shared" si="114"/>
        <v/>
      </c>
      <c r="O315" s="507">
        <v>60</v>
      </c>
      <c r="P315" s="507">
        <f t="shared" si="115"/>
        <v>0</v>
      </c>
      <c r="Q315" s="508">
        <f t="shared" si="116"/>
        <v>780</v>
      </c>
      <c r="R315" s="357">
        <f t="shared" si="117"/>
        <v>0</v>
      </c>
      <c r="S315" s="357" t="str">
        <f t="shared" si="118"/>
        <v/>
      </c>
      <c r="T315" s="357"/>
    </row>
    <row r="316" spans="9:20" ht="14.25" customHeight="1">
      <c r="I316" s="489">
        <v>29</v>
      </c>
      <c r="J316" s="355">
        <v>42935</v>
      </c>
      <c r="K316" s="355"/>
      <c r="L316" s="356" t="s">
        <v>833</v>
      </c>
      <c r="M316" s="356" t="str">
        <f t="shared" si="113"/>
        <v/>
      </c>
      <c r="N316" s="356" t="str">
        <f t="shared" si="114"/>
        <v/>
      </c>
      <c r="O316" s="507">
        <v>373</v>
      </c>
      <c r="P316" s="507">
        <f t="shared" si="115"/>
        <v>0</v>
      </c>
      <c r="Q316" s="508">
        <f t="shared" si="116"/>
        <v>4849</v>
      </c>
      <c r="R316" s="357">
        <f t="shared" si="117"/>
        <v>0</v>
      </c>
      <c r="S316" s="357" t="str">
        <f t="shared" si="118"/>
        <v/>
      </c>
      <c r="T316" s="357"/>
    </row>
    <row r="317" spans="9:20" ht="14.25" customHeight="1">
      <c r="I317" s="489">
        <v>30</v>
      </c>
      <c r="J317" s="355">
        <v>42935</v>
      </c>
      <c r="K317" s="355"/>
      <c r="L317" s="356" t="s">
        <v>120</v>
      </c>
      <c r="M317" s="356" t="str">
        <f t="shared" si="113"/>
        <v/>
      </c>
      <c r="N317" s="356" t="str">
        <f t="shared" si="114"/>
        <v/>
      </c>
      <c r="O317" s="507">
        <v>162</v>
      </c>
      <c r="P317" s="507">
        <f t="shared" si="115"/>
        <v>0</v>
      </c>
      <c r="Q317" s="508">
        <f t="shared" si="116"/>
        <v>2106</v>
      </c>
      <c r="R317" s="357">
        <f t="shared" si="117"/>
        <v>0</v>
      </c>
      <c r="S317" s="357" t="str">
        <f t="shared" si="118"/>
        <v/>
      </c>
      <c r="T317" s="357"/>
    </row>
    <row r="318" spans="9:20" ht="14.25" customHeight="1">
      <c r="I318" s="489">
        <v>31</v>
      </c>
      <c r="J318" s="355">
        <v>42935</v>
      </c>
      <c r="K318" s="355"/>
      <c r="L318" s="356" t="s">
        <v>119</v>
      </c>
      <c r="M318" s="356" t="str">
        <f t="shared" si="113"/>
        <v/>
      </c>
      <c r="N318" s="356" t="str">
        <f t="shared" si="114"/>
        <v/>
      </c>
      <c r="O318" s="507">
        <v>1005</v>
      </c>
      <c r="P318" s="507">
        <f t="shared" si="115"/>
        <v>0</v>
      </c>
      <c r="Q318" s="508">
        <f t="shared" si="116"/>
        <v>13065</v>
      </c>
      <c r="R318" s="357">
        <f t="shared" si="117"/>
        <v>0</v>
      </c>
      <c r="S318" s="357" t="str">
        <f t="shared" si="118"/>
        <v/>
      </c>
      <c r="T318" s="357"/>
    </row>
    <row r="319" spans="9:20" ht="14.25" customHeight="1">
      <c r="I319" s="489">
        <v>32</v>
      </c>
      <c r="J319" s="355">
        <v>42936</v>
      </c>
      <c r="K319" s="355">
        <v>42936</v>
      </c>
      <c r="L319" s="356" t="s">
        <v>834</v>
      </c>
      <c r="M319" s="356">
        <f t="shared" si="113"/>
        <v>1</v>
      </c>
      <c r="N319" s="356" t="str">
        <f t="shared" si="114"/>
        <v/>
      </c>
      <c r="O319" s="507">
        <v>1122</v>
      </c>
      <c r="P319" s="507">
        <f t="shared" si="115"/>
        <v>1122</v>
      </c>
      <c r="Q319" s="508">
        <f t="shared" si="116"/>
        <v>14586</v>
      </c>
      <c r="R319" s="357">
        <f t="shared" si="117"/>
        <v>0</v>
      </c>
      <c r="S319" s="357" t="str">
        <f t="shared" si="118"/>
        <v/>
      </c>
      <c r="T319" s="357"/>
    </row>
    <row r="320" spans="9:20" ht="14.25" customHeight="1">
      <c r="I320" s="489">
        <v>33</v>
      </c>
      <c r="J320" s="355">
        <v>42936</v>
      </c>
      <c r="K320" s="355">
        <v>42936</v>
      </c>
      <c r="L320" s="356" t="s">
        <v>835</v>
      </c>
      <c r="M320" s="356">
        <f t="shared" si="113"/>
        <v>1</v>
      </c>
      <c r="N320" s="356" t="str">
        <f t="shared" si="114"/>
        <v/>
      </c>
      <c r="O320" s="507">
        <v>2030</v>
      </c>
      <c r="P320" s="507">
        <f t="shared" si="115"/>
        <v>2030</v>
      </c>
      <c r="Q320" s="508">
        <f t="shared" si="116"/>
        <v>26390</v>
      </c>
      <c r="R320" s="357">
        <f t="shared" si="117"/>
        <v>0</v>
      </c>
      <c r="S320" s="357" t="str">
        <f t="shared" si="118"/>
        <v/>
      </c>
      <c r="T320" s="357"/>
    </row>
    <row r="321" spans="9:20" ht="14.25" customHeight="1">
      <c r="I321" s="489">
        <v>34</v>
      </c>
      <c r="J321" s="355">
        <v>42936</v>
      </c>
      <c r="K321" s="355">
        <v>42936</v>
      </c>
      <c r="L321" s="356" t="s">
        <v>836</v>
      </c>
      <c r="M321" s="356">
        <f t="shared" si="113"/>
        <v>1</v>
      </c>
      <c r="N321" s="356" t="str">
        <f t="shared" si="114"/>
        <v/>
      </c>
      <c r="O321" s="507">
        <v>2030</v>
      </c>
      <c r="P321" s="507">
        <f t="shared" si="115"/>
        <v>2030</v>
      </c>
      <c r="Q321" s="508">
        <f t="shared" si="116"/>
        <v>26390</v>
      </c>
      <c r="R321" s="357">
        <f t="shared" si="117"/>
        <v>0</v>
      </c>
      <c r="S321" s="357" t="str">
        <f t="shared" si="118"/>
        <v/>
      </c>
      <c r="T321" s="357"/>
    </row>
    <row r="322" spans="9:20" ht="14.25" customHeight="1">
      <c r="I322" s="489">
        <v>35</v>
      </c>
      <c r="J322" s="355">
        <v>42936</v>
      </c>
      <c r="K322" s="355">
        <v>42936</v>
      </c>
      <c r="L322" s="356" t="s">
        <v>834</v>
      </c>
      <c r="M322" s="356">
        <f t="shared" si="113"/>
        <v>1</v>
      </c>
      <c r="N322" s="356" t="str">
        <f t="shared" si="114"/>
        <v/>
      </c>
      <c r="O322" s="507">
        <v>858</v>
      </c>
      <c r="P322" s="507">
        <f t="shared" si="115"/>
        <v>858</v>
      </c>
      <c r="Q322" s="508">
        <f t="shared" si="116"/>
        <v>11154</v>
      </c>
      <c r="R322" s="357">
        <f t="shared" si="117"/>
        <v>0</v>
      </c>
      <c r="S322" s="357" t="str">
        <f t="shared" si="118"/>
        <v/>
      </c>
      <c r="T322" s="357"/>
    </row>
    <row r="323" spans="9:20" ht="14.25" customHeight="1">
      <c r="I323" s="489">
        <v>36</v>
      </c>
      <c r="J323" s="355">
        <v>42936</v>
      </c>
      <c r="K323" s="355">
        <v>42936</v>
      </c>
      <c r="L323" s="356" t="s">
        <v>370</v>
      </c>
      <c r="M323" s="356">
        <f t="shared" si="113"/>
        <v>1</v>
      </c>
      <c r="N323" s="356" t="str">
        <f t="shared" si="114"/>
        <v/>
      </c>
      <c r="O323" s="507">
        <v>50</v>
      </c>
      <c r="P323" s="507">
        <f t="shared" si="115"/>
        <v>50</v>
      </c>
      <c r="Q323" s="508">
        <f t="shared" si="116"/>
        <v>650</v>
      </c>
      <c r="R323" s="357">
        <f t="shared" si="117"/>
        <v>0</v>
      </c>
      <c r="S323" s="357" t="str">
        <f t="shared" si="118"/>
        <v/>
      </c>
      <c r="T323" s="357"/>
    </row>
    <row r="324" spans="9:20" ht="14.25" customHeight="1">
      <c r="I324" s="489">
        <v>37</v>
      </c>
      <c r="J324" s="355">
        <v>42936</v>
      </c>
      <c r="K324" s="355"/>
      <c r="L324" s="356" t="s">
        <v>370</v>
      </c>
      <c r="M324" s="356" t="str">
        <f t="shared" si="113"/>
        <v/>
      </c>
      <c r="N324" s="356" t="str">
        <f t="shared" si="114"/>
        <v/>
      </c>
      <c r="O324" s="507">
        <f>450-O323</f>
        <v>400</v>
      </c>
      <c r="P324" s="507">
        <f t="shared" si="115"/>
        <v>0</v>
      </c>
      <c r="Q324" s="508">
        <f t="shared" si="116"/>
        <v>5200</v>
      </c>
      <c r="R324" s="357">
        <f t="shared" si="117"/>
        <v>0</v>
      </c>
      <c r="S324" s="357" t="str">
        <f t="shared" si="118"/>
        <v/>
      </c>
      <c r="T324" s="357"/>
    </row>
    <row r="325" spans="9:20" ht="14.25" customHeight="1">
      <c r="I325" s="489">
        <v>38</v>
      </c>
      <c r="J325" s="355">
        <v>42936</v>
      </c>
      <c r="K325" s="355">
        <v>42940</v>
      </c>
      <c r="L325" s="356" t="s">
        <v>825</v>
      </c>
      <c r="M325" s="356">
        <f t="shared" si="113"/>
        <v>5</v>
      </c>
      <c r="N325" s="356">
        <f t="shared" si="114"/>
        <v>3</v>
      </c>
      <c r="O325" s="507">
        <v>254</v>
      </c>
      <c r="P325" s="507">
        <f t="shared" si="115"/>
        <v>254</v>
      </c>
      <c r="Q325" s="508">
        <f t="shared" si="116"/>
        <v>3302</v>
      </c>
      <c r="R325" s="357">
        <f t="shared" si="117"/>
        <v>20000</v>
      </c>
      <c r="S325" s="357">
        <f t="shared" si="118"/>
        <v>198120</v>
      </c>
      <c r="T325" s="357" t="s">
        <v>848</v>
      </c>
    </row>
    <row r="326" spans="9:20" ht="14.25" customHeight="1">
      <c r="I326" s="489">
        <v>39</v>
      </c>
      <c r="J326" s="355">
        <v>42936</v>
      </c>
      <c r="K326" s="355"/>
      <c r="L326" s="356" t="s">
        <v>825</v>
      </c>
      <c r="M326" s="356" t="str">
        <f t="shared" ref="M326:M344" si="119">IF(K326&lt;&gt;"",K326-J326+1,"")</f>
        <v/>
      </c>
      <c r="N326" s="356" t="str">
        <f t="shared" ref="N326:N344" si="120">IF(AND(M326&lt;&gt;"",M326&gt;2),M326-2,"")</f>
        <v/>
      </c>
      <c r="O326" s="507">
        <f>504-O325</f>
        <v>250</v>
      </c>
      <c r="P326" s="507">
        <f t="shared" ref="P326:P344" si="121">IF(K326&lt;&gt;"",O326,0)</f>
        <v>0</v>
      </c>
      <c r="Q326" s="508">
        <f t="shared" ref="Q326:Q344" si="122">O326*13</f>
        <v>3250</v>
      </c>
      <c r="R326" s="357">
        <f t="shared" ref="R326:R344" si="123">IF(AND(M326&lt;&gt;"",M326&gt;2),20000,0)</f>
        <v>0</v>
      </c>
      <c r="S326" s="357" t="str">
        <f t="shared" si="118"/>
        <v/>
      </c>
      <c r="T326" s="357"/>
    </row>
    <row r="327" spans="9:20" ht="14.25" customHeight="1">
      <c r="I327" s="489">
        <v>40</v>
      </c>
      <c r="J327" s="355">
        <v>42936</v>
      </c>
      <c r="K327" s="355"/>
      <c r="L327" s="356" t="s">
        <v>102</v>
      </c>
      <c r="M327" s="356" t="str">
        <f t="shared" si="119"/>
        <v/>
      </c>
      <c r="N327" s="356" t="str">
        <f t="shared" si="120"/>
        <v/>
      </c>
      <c r="O327" s="507">
        <v>450</v>
      </c>
      <c r="P327" s="507">
        <f t="shared" si="121"/>
        <v>0</v>
      </c>
      <c r="Q327" s="508">
        <f t="shared" si="122"/>
        <v>5850</v>
      </c>
      <c r="R327" s="357">
        <f t="shared" si="123"/>
        <v>0</v>
      </c>
      <c r="S327" s="357" t="str">
        <f t="shared" si="118"/>
        <v/>
      </c>
      <c r="T327" s="357"/>
    </row>
    <row r="328" spans="9:20" ht="14.25" customHeight="1">
      <c r="I328" s="489">
        <v>41</v>
      </c>
      <c r="J328" s="355">
        <v>42936</v>
      </c>
      <c r="K328" s="355"/>
      <c r="L328" s="356" t="s">
        <v>821</v>
      </c>
      <c r="M328" s="356" t="str">
        <f t="shared" si="119"/>
        <v/>
      </c>
      <c r="N328" s="356" t="str">
        <f t="shared" si="120"/>
        <v/>
      </c>
      <c r="O328" s="507">
        <v>450</v>
      </c>
      <c r="P328" s="507">
        <f t="shared" si="121"/>
        <v>0</v>
      </c>
      <c r="Q328" s="508">
        <f t="shared" si="122"/>
        <v>5850</v>
      </c>
      <c r="R328" s="357">
        <f t="shared" si="123"/>
        <v>0</v>
      </c>
      <c r="S328" s="357" t="str">
        <f t="shared" si="118"/>
        <v/>
      </c>
      <c r="T328" s="357"/>
    </row>
    <row r="329" spans="9:20" ht="14.25" customHeight="1">
      <c r="I329" s="489">
        <v>42</v>
      </c>
      <c r="J329" s="355">
        <v>42937</v>
      </c>
      <c r="K329" s="355">
        <v>42937</v>
      </c>
      <c r="L329" s="356" t="s">
        <v>837</v>
      </c>
      <c r="M329" s="356">
        <f t="shared" si="119"/>
        <v>1</v>
      </c>
      <c r="N329" s="356" t="str">
        <f t="shared" si="120"/>
        <v/>
      </c>
      <c r="O329" s="507">
        <v>2050</v>
      </c>
      <c r="P329" s="507">
        <f t="shared" si="121"/>
        <v>2050</v>
      </c>
      <c r="Q329" s="508">
        <f t="shared" si="122"/>
        <v>26650</v>
      </c>
      <c r="R329" s="357">
        <f t="shared" si="123"/>
        <v>0</v>
      </c>
      <c r="S329" s="357" t="str">
        <f t="shared" si="118"/>
        <v/>
      </c>
      <c r="T329" s="357"/>
    </row>
    <row r="330" spans="9:20" ht="14.25" customHeight="1">
      <c r="I330" s="489">
        <v>43</v>
      </c>
      <c r="J330" s="355">
        <v>42937</v>
      </c>
      <c r="K330" s="355">
        <v>42937</v>
      </c>
      <c r="L330" s="356" t="s">
        <v>838</v>
      </c>
      <c r="M330" s="356">
        <f t="shared" si="119"/>
        <v>1</v>
      </c>
      <c r="N330" s="356" t="str">
        <f t="shared" si="120"/>
        <v/>
      </c>
      <c r="O330" s="507">
        <v>2030</v>
      </c>
      <c r="P330" s="507">
        <f t="shared" si="121"/>
        <v>2030</v>
      </c>
      <c r="Q330" s="508">
        <f t="shared" si="122"/>
        <v>26390</v>
      </c>
      <c r="R330" s="357">
        <f t="shared" si="123"/>
        <v>0</v>
      </c>
      <c r="S330" s="357" t="str">
        <f t="shared" si="118"/>
        <v/>
      </c>
      <c r="T330" s="357"/>
    </row>
    <row r="331" spans="9:20" ht="14.25" customHeight="1">
      <c r="I331" s="489">
        <v>44</v>
      </c>
      <c r="J331" s="355">
        <v>42937</v>
      </c>
      <c r="K331" s="355">
        <v>42937</v>
      </c>
      <c r="L331" s="356" t="s">
        <v>787</v>
      </c>
      <c r="M331" s="356">
        <f t="shared" si="119"/>
        <v>1</v>
      </c>
      <c r="N331" s="356" t="str">
        <f t="shared" si="120"/>
        <v/>
      </c>
      <c r="O331" s="507">
        <v>562</v>
      </c>
      <c r="P331" s="507">
        <f t="shared" si="121"/>
        <v>562</v>
      </c>
      <c r="Q331" s="508">
        <f t="shared" si="122"/>
        <v>7306</v>
      </c>
      <c r="R331" s="357">
        <f t="shared" si="123"/>
        <v>0</v>
      </c>
      <c r="S331" s="357" t="str">
        <f t="shared" si="118"/>
        <v/>
      </c>
      <c r="T331" s="357"/>
    </row>
    <row r="332" spans="9:20" ht="14.25" customHeight="1">
      <c r="I332" s="489">
        <v>45</v>
      </c>
      <c r="J332" s="355">
        <v>42937</v>
      </c>
      <c r="K332" s="355">
        <v>42937</v>
      </c>
      <c r="L332" s="356" t="s">
        <v>831</v>
      </c>
      <c r="M332" s="356">
        <f t="shared" si="119"/>
        <v>1</v>
      </c>
      <c r="N332" s="356" t="str">
        <f t="shared" si="120"/>
        <v/>
      </c>
      <c r="O332" s="507">
        <v>497</v>
      </c>
      <c r="P332" s="507">
        <f t="shared" si="121"/>
        <v>497</v>
      </c>
      <c r="Q332" s="508">
        <f t="shared" si="122"/>
        <v>6461</v>
      </c>
      <c r="R332" s="357">
        <f t="shared" si="123"/>
        <v>0</v>
      </c>
      <c r="S332" s="357" t="str">
        <f t="shared" si="118"/>
        <v/>
      </c>
      <c r="T332" s="357"/>
    </row>
    <row r="333" spans="9:20" ht="14.25" customHeight="1">
      <c r="I333" s="489">
        <v>46</v>
      </c>
      <c r="J333" s="355">
        <v>42937</v>
      </c>
      <c r="K333" s="355">
        <v>42937</v>
      </c>
      <c r="L333" s="356" t="s">
        <v>839</v>
      </c>
      <c r="M333" s="356">
        <f t="shared" si="119"/>
        <v>1</v>
      </c>
      <c r="N333" s="356" t="str">
        <f t="shared" si="120"/>
        <v/>
      </c>
      <c r="O333" s="507">
        <v>69</v>
      </c>
      <c r="P333" s="507">
        <f t="shared" si="121"/>
        <v>69</v>
      </c>
      <c r="Q333" s="508">
        <f t="shared" si="122"/>
        <v>897</v>
      </c>
      <c r="R333" s="357">
        <f t="shared" si="123"/>
        <v>0</v>
      </c>
      <c r="S333" s="357" t="str">
        <f t="shared" si="118"/>
        <v/>
      </c>
      <c r="T333" s="357"/>
    </row>
    <row r="334" spans="9:20" ht="14.25" customHeight="1">
      <c r="I334" s="489">
        <v>47</v>
      </c>
      <c r="J334" s="355">
        <v>42937</v>
      </c>
      <c r="K334" s="355">
        <v>42937</v>
      </c>
      <c r="L334" s="356" t="s">
        <v>93</v>
      </c>
      <c r="M334" s="356">
        <f t="shared" si="119"/>
        <v>1</v>
      </c>
      <c r="N334" s="356" t="str">
        <f t="shared" si="120"/>
        <v/>
      </c>
      <c r="O334" s="507">
        <v>440</v>
      </c>
      <c r="P334" s="507">
        <f t="shared" si="121"/>
        <v>440</v>
      </c>
      <c r="Q334" s="508">
        <f t="shared" si="122"/>
        <v>5720</v>
      </c>
      <c r="R334" s="357">
        <f t="shared" si="123"/>
        <v>0</v>
      </c>
      <c r="S334" s="357" t="str">
        <f t="shared" si="118"/>
        <v/>
      </c>
      <c r="T334" s="357"/>
    </row>
    <row r="335" spans="9:20" ht="14.25" customHeight="1">
      <c r="I335" s="489">
        <v>48</v>
      </c>
      <c r="J335" s="355">
        <v>42937</v>
      </c>
      <c r="K335" s="355">
        <v>42937</v>
      </c>
      <c r="L335" s="356" t="s">
        <v>840</v>
      </c>
      <c r="M335" s="356">
        <f t="shared" si="119"/>
        <v>1</v>
      </c>
      <c r="N335" s="356" t="str">
        <f t="shared" si="120"/>
        <v/>
      </c>
      <c r="O335" s="507">
        <v>442</v>
      </c>
      <c r="P335" s="507">
        <f t="shared" si="121"/>
        <v>442</v>
      </c>
      <c r="Q335" s="508">
        <f t="shared" si="122"/>
        <v>5746</v>
      </c>
      <c r="R335" s="357">
        <f t="shared" si="123"/>
        <v>0</v>
      </c>
      <c r="S335" s="357" t="str">
        <f t="shared" si="118"/>
        <v/>
      </c>
      <c r="T335" s="357"/>
    </row>
    <row r="336" spans="9:20" ht="14.25" customHeight="1">
      <c r="I336" s="489">
        <v>49</v>
      </c>
      <c r="J336" s="355">
        <v>42937</v>
      </c>
      <c r="K336" s="355"/>
      <c r="L336" s="356" t="s">
        <v>840</v>
      </c>
      <c r="M336" s="356" t="str">
        <f t="shared" si="119"/>
        <v/>
      </c>
      <c r="N336" s="356" t="str">
        <f t="shared" si="120"/>
        <v/>
      </c>
      <c r="O336" s="507">
        <f>450-O335</f>
        <v>8</v>
      </c>
      <c r="P336" s="507">
        <f t="shared" si="121"/>
        <v>0</v>
      </c>
      <c r="Q336" s="508">
        <f t="shared" si="122"/>
        <v>104</v>
      </c>
      <c r="R336" s="357">
        <f t="shared" si="123"/>
        <v>0</v>
      </c>
      <c r="S336" s="357" t="str">
        <f t="shared" si="118"/>
        <v/>
      </c>
      <c r="T336" s="357"/>
    </row>
    <row r="337" spans="1:20" ht="14.25" customHeight="1">
      <c r="I337" s="489">
        <v>50</v>
      </c>
      <c r="J337" s="355">
        <v>42937</v>
      </c>
      <c r="K337" s="355"/>
      <c r="L337" s="356" t="s">
        <v>822</v>
      </c>
      <c r="M337" s="356" t="str">
        <f t="shared" si="119"/>
        <v/>
      </c>
      <c r="N337" s="356" t="str">
        <f t="shared" si="120"/>
        <v/>
      </c>
      <c r="O337" s="507">
        <v>115</v>
      </c>
      <c r="P337" s="507">
        <f t="shared" si="121"/>
        <v>0</v>
      </c>
      <c r="Q337" s="508">
        <f t="shared" si="122"/>
        <v>1495</v>
      </c>
      <c r="R337" s="357">
        <f t="shared" si="123"/>
        <v>0</v>
      </c>
      <c r="S337" s="357" t="str">
        <f t="shared" si="118"/>
        <v/>
      </c>
      <c r="T337" s="357"/>
    </row>
    <row r="338" spans="1:20" ht="14.25" customHeight="1">
      <c r="I338" s="489">
        <v>51</v>
      </c>
      <c r="J338" s="355">
        <v>42938</v>
      </c>
      <c r="K338" s="355">
        <v>42938</v>
      </c>
      <c r="L338" s="356" t="s">
        <v>789</v>
      </c>
      <c r="M338" s="356">
        <f t="shared" si="119"/>
        <v>1</v>
      </c>
      <c r="N338" s="356" t="str">
        <f t="shared" si="120"/>
        <v/>
      </c>
      <c r="O338" s="507">
        <v>2026</v>
      </c>
      <c r="P338" s="507">
        <f t="shared" si="121"/>
        <v>2026</v>
      </c>
      <c r="Q338" s="508">
        <f t="shared" si="122"/>
        <v>26338</v>
      </c>
      <c r="R338" s="357">
        <f t="shared" si="123"/>
        <v>0</v>
      </c>
      <c r="S338" s="357" t="str">
        <f t="shared" si="118"/>
        <v/>
      </c>
      <c r="T338" s="357"/>
    </row>
    <row r="339" spans="1:20" ht="14.25" customHeight="1">
      <c r="I339" s="489">
        <v>52</v>
      </c>
      <c r="J339" s="355">
        <v>42938</v>
      </c>
      <c r="K339" s="355">
        <v>42938</v>
      </c>
      <c r="L339" s="356" t="s">
        <v>841</v>
      </c>
      <c r="M339" s="356">
        <f t="shared" si="119"/>
        <v>1</v>
      </c>
      <c r="N339" s="356" t="str">
        <f t="shared" si="120"/>
        <v/>
      </c>
      <c r="O339" s="507">
        <v>249</v>
      </c>
      <c r="P339" s="507">
        <f t="shared" si="121"/>
        <v>249</v>
      </c>
      <c r="Q339" s="508">
        <f t="shared" si="122"/>
        <v>3237</v>
      </c>
      <c r="R339" s="357">
        <f t="shared" si="123"/>
        <v>0</v>
      </c>
      <c r="S339" s="357" t="str">
        <f t="shared" si="118"/>
        <v/>
      </c>
      <c r="T339" s="357"/>
    </row>
    <row r="340" spans="1:20" ht="14.25" customHeight="1">
      <c r="I340" s="489">
        <v>53</v>
      </c>
      <c r="J340" s="355">
        <v>42938</v>
      </c>
      <c r="K340" s="355">
        <v>42938</v>
      </c>
      <c r="L340" s="356" t="s">
        <v>842</v>
      </c>
      <c r="M340" s="356">
        <f t="shared" si="119"/>
        <v>1</v>
      </c>
      <c r="N340" s="356" t="str">
        <f t="shared" si="120"/>
        <v/>
      </c>
      <c r="O340" s="507">
        <v>1999</v>
      </c>
      <c r="P340" s="507">
        <f t="shared" si="121"/>
        <v>1999</v>
      </c>
      <c r="Q340" s="508">
        <f t="shared" si="122"/>
        <v>25987</v>
      </c>
      <c r="R340" s="357">
        <f t="shared" si="123"/>
        <v>0</v>
      </c>
      <c r="S340" s="357" t="str">
        <f t="shared" si="118"/>
        <v/>
      </c>
      <c r="T340" s="357"/>
    </row>
    <row r="341" spans="1:20" ht="14.25" customHeight="1">
      <c r="I341" s="489">
        <v>54</v>
      </c>
      <c r="J341" s="355">
        <v>42938</v>
      </c>
      <c r="K341" s="355">
        <v>42938</v>
      </c>
      <c r="L341" s="356" t="s">
        <v>843</v>
      </c>
      <c r="M341" s="356">
        <f t="shared" si="119"/>
        <v>1</v>
      </c>
      <c r="N341" s="356" t="str">
        <f t="shared" si="120"/>
        <v/>
      </c>
      <c r="O341" s="507">
        <v>2000</v>
      </c>
      <c r="P341" s="507">
        <f t="shared" si="121"/>
        <v>2000</v>
      </c>
      <c r="Q341" s="508">
        <f t="shared" si="122"/>
        <v>26000</v>
      </c>
      <c r="R341" s="357">
        <f t="shared" si="123"/>
        <v>0</v>
      </c>
      <c r="S341" s="357" t="str">
        <f t="shared" si="118"/>
        <v/>
      </c>
      <c r="T341" s="357"/>
    </row>
    <row r="342" spans="1:20" ht="14.25" customHeight="1">
      <c r="I342" s="489">
        <v>55</v>
      </c>
      <c r="J342" s="355">
        <v>42939</v>
      </c>
      <c r="K342" s="355">
        <v>42939</v>
      </c>
      <c r="L342" s="356" t="s">
        <v>823</v>
      </c>
      <c r="M342" s="356">
        <f t="shared" si="119"/>
        <v>1</v>
      </c>
      <c r="N342" s="356" t="str">
        <f t="shared" si="120"/>
        <v/>
      </c>
      <c r="O342" s="507">
        <v>450</v>
      </c>
      <c r="P342" s="507">
        <f t="shared" si="121"/>
        <v>450</v>
      </c>
      <c r="Q342" s="508">
        <f t="shared" si="122"/>
        <v>5850</v>
      </c>
      <c r="R342" s="357">
        <f t="shared" si="123"/>
        <v>0</v>
      </c>
      <c r="S342" s="357" t="str">
        <f t="shared" si="118"/>
        <v/>
      </c>
      <c r="T342" s="357"/>
    </row>
    <row r="343" spans="1:20" ht="14.25" customHeight="1">
      <c r="I343" s="489">
        <v>56</v>
      </c>
      <c r="J343" s="355">
        <v>42941</v>
      </c>
      <c r="K343" s="355"/>
      <c r="L343" s="356" t="s">
        <v>84</v>
      </c>
      <c r="M343" s="356" t="str">
        <f t="shared" si="119"/>
        <v/>
      </c>
      <c r="N343" s="356" t="str">
        <f t="shared" si="120"/>
        <v/>
      </c>
      <c r="O343" s="507">
        <v>450</v>
      </c>
      <c r="P343" s="507">
        <f t="shared" si="121"/>
        <v>0</v>
      </c>
      <c r="Q343" s="508">
        <f t="shared" si="122"/>
        <v>5850</v>
      </c>
      <c r="R343" s="357">
        <f t="shared" si="123"/>
        <v>0</v>
      </c>
      <c r="S343" s="357" t="str">
        <f t="shared" ref="S343:S344" si="124">IF(AND(M343&lt;&gt;"",M343&gt;2),R343*Q343*N343/1000,"")</f>
        <v/>
      </c>
      <c r="T343" s="357"/>
    </row>
    <row r="344" spans="1:20" ht="14.25" customHeight="1">
      <c r="I344" s="489">
        <v>57</v>
      </c>
      <c r="J344" s="355">
        <v>42941</v>
      </c>
      <c r="K344" s="355"/>
      <c r="L344" s="356" t="s">
        <v>787</v>
      </c>
      <c r="M344" s="356" t="str">
        <f t="shared" si="119"/>
        <v/>
      </c>
      <c r="N344" s="356" t="str">
        <f t="shared" si="120"/>
        <v/>
      </c>
      <c r="O344" s="505">
        <v>450</v>
      </c>
      <c r="P344" s="507">
        <f t="shared" si="121"/>
        <v>0</v>
      </c>
      <c r="Q344" s="506">
        <f t="shared" si="122"/>
        <v>5850</v>
      </c>
      <c r="R344" s="357">
        <f t="shared" si="123"/>
        <v>0</v>
      </c>
      <c r="S344" s="357" t="str">
        <f t="shared" si="124"/>
        <v/>
      </c>
      <c r="T344" s="357"/>
    </row>
    <row r="345" spans="1:20" ht="9" customHeight="1">
      <c r="I345" s="489"/>
      <c r="J345" s="355"/>
      <c r="K345" s="355"/>
      <c r="L345" s="356"/>
      <c r="M345" s="356"/>
      <c r="N345" s="356"/>
      <c r="O345" s="505"/>
      <c r="P345" s="505"/>
      <c r="Q345" s="506"/>
      <c r="R345" s="357"/>
      <c r="S345" s="357"/>
      <c r="T345" s="357"/>
    </row>
    <row r="346" spans="1:20" ht="14.25" customHeight="1">
      <c r="I346" s="414"/>
      <c r="J346" s="414"/>
      <c r="K346" s="414"/>
      <c r="L346" s="414" t="s">
        <v>19</v>
      </c>
      <c r="M346" s="414"/>
      <c r="N346" s="414"/>
      <c r="O346" s="413">
        <f>SUM(O288:O345)</f>
        <v>40909</v>
      </c>
      <c r="P346" s="413">
        <f>SUM(P288:P345)</f>
        <v>24614</v>
      </c>
      <c r="Q346" s="413">
        <f>SUM(Q288:Q345)</f>
        <v>531817</v>
      </c>
      <c r="R346" s="413"/>
      <c r="S346" s="415">
        <f>SUM(S288:S345)</f>
        <v>16550560</v>
      </c>
      <c r="T346" s="415"/>
    </row>
    <row r="347" spans="1:20" ht="14.25" customHeight="1">
      <c r="L347" s="352" t="s">
        <v>845</v>
      </c>
      <c r="M347" s="860">
        <f>O346-P346</f>
        <v>16295</v>
      </c>
      <c r="N347" s="860"/>
      <c r="O347" s="860"/>
      <c r="P347" s="860"/>
    </row>
    <row r="348" spans="1:20">
      <c r="L348" s="352"/>
      <c r="M348" s="514"/>
      <c r="N348" s="514"/>
      <c r="O348" s="514"/>
      <c r="P348" s="514"/>
    </row>
    <row r="349" spans="1:20">
      <c r="J349" s="352" t="s">
        <v>29</v>
      </c>
      <c r="K349" s="353"/>
      <c r="L349" s="354"/>
      <c r="M349" s="353"/>
      <c r="N349" s="353"/>
      <c r="O349" s="353"/>
      <c r="P349" s="353"/>
      <c r="Q349" s="353"/>
      <c r="R349" s="353"/>
      <c r="S349" s="353"/>
    </row>
    <row r="350" spans="1:20" ht="27.75" customHeight="1">
      <c r="A350" s="803" t="s">
        <v>0</v>
      </c>
      <c r="B350" s="803" t="s">
        <v>21</v>
      </c>
      <c r="C350" s="855" t="s">
        <v>50</v>
      </c>
      <c r="D350" s="815" t="s">
        <v>51</v>
      </c>
      <c r="E350" s="815" t="s">
        <v>9</v>
      </c>
      <c r="F350" s="815" t="s">
        <v>117</v>
      </c>
      <c r="G350" s="815" t="s">
        <v>52</v>
      </c>
      <c r="I350" s="803" t="s">
        <v>0</v>
      </c>
      <c r="J350" s="803" t="s">
        <v>30</v>
      </c>
      <c r="K350" s="803" t="s">
        <v>31</v>
      </c>
      <c r="L350" s="803" t="s">
        <v>103</v>
      </c>
      <c r="M350" s="803" t="s">
        <v>32</v>
      </c>
      <c r="N350" s="803" t="s">
        <v>573</v>
      </c>
      <c r="O350" s="919" t="s">
        <v>83</v>
      </c>
      <c r="P350" s="920"/>
      <c r="Q350" s="813" t="s">
        <v>33</v>
      </c>
      <c r="R350" s="815" t="s">
        <v>106</v>
      </c>
      <c r="S350" s="815" t="s">
        <v>9</v>
      </c>
      <c r="T350" s="815" t="s">
        <v>82</v>
      </c>
    </row>
    <row r="351" spans="1:20" ht="27.75" customHeight="1">
      <c r="A351" s="803"/>
      <c r="B351" s="803"/>
      <c r="C351" s="855"/>
      <c r="D351" s="815"/>
      <c r="E351" s="815"/>
      <c r="F351" s="815"/>
      <c r="G351" s="815"/>
      <c r="I351" s="803"/>
      <c r="J351" s="803"/>
      <c r="K351" s="803"/>
      <c r="L351" s="803"/>
      <c r="M351" s="803"/>
      <c r="N351" s="803"/>
      <c r="O351" s="509" t="s">
        <v>846</v>
      </c>
      <c r="P351" s="509" t="s">
        <v>847</v>
      </c>
      <c r="Q351" s="814"/>
      <c r="R351" s="815"/>
      <c r="S351" s="815"/>
      <c r="T351" s="815"/>
    </row>
    <row r="352" spans="1:20">
      <c r="A352" s="356">
        <v>1</v>
      </c>
      <c r="B352" s="264" t="s">
        <v>882</v>
      </c>
      <c r="C352" s="510">
        <v>279734</v>
      </c>
      <c r="D352" s="511">
        <v>22690</v>
      </c>
      <c r="E352" s="511">
        <f>C352*D352</f>
        <v>6347164460</v>
      </c>
      <c r="F352" s="512"/>
      <c r="G352" s="511"/>
      <c r="I352" s="356">
        <v>1</v>
      </c>
      <c r="J352" s="355">
        <v>42929</v>
      </c>
      <c r="K352" s="355">
        <v>42943</v>
      </c>
      <c r="L352" s="356" t="s">
        <v>820</v>
      </c>
      <c r="M352" s="356">
        <f t="shared" ref="M352" si="125">IF(K352&lt;&gt;"",K352-J352+1,"")</f>
        <v>15</v>
      </c>
      <c r="N352" s="356">
        <f>IF(M352&lt;&gt;"",M352,"")</f>
        <v>15</v>
      </c>
      <c r="O352" s="507">
        <v>50</v>
      </c>
      <c r="P352" s="507">
        <f t="shared" ref="P352" si="126">IF(K352&lt;&gt;"",O352,0)</f>
        <v>50</v>
      </c>
      <c r="Q352" s="508">
        <f t="shared" ref="Q352" si="127">O352*13</f>
        <v>650</v>
      </c>
      <c r="R352" s="357">
        <f>IF(M352&lt;&gt;"",20000,0)</f>
        <v>20000</v>
      </c>
      <c r="S352" s="357">
        <f>IF(M352&lt;&gt;"",R352*Q352*N352/1000,"")</f>
        <v>195000</v>
      </c>
      <c r="T352" s="357"/>
    </row>
    <row r="353" spans="1:20">
      <c r="A353" s="489">
        <v>2</v>
      </c>
      <c r="B353" s="253" t="s">
        <v>850</v>
      </c>
      <c r="C353" s="310"/>
      <c r="D353" s="255"/>
      <c r="E353" s="255">
        <f>G302</f>
        <v>16433901.200000763</v>
      </c>
      <c r="F353" s="254"/>
      <c r="G353" s="255"/>
      <c r="I353" s="489">
        <v>2</v>
      </c>
      <c r="J353" s="355">
        <v>42929</v>
      </c>
      <c r="K353" s="355">
        <v>42944</v>
      </c>
      <c r="L353" s="356" t="s">
        <v>820</v>
      </c>
      <c r="M353" s="356">
        <f t="shared" ref="M353:M354" si="128">IF(K353&lt;&gt;"",K353-J353+1,"")</f>
        <v>16</v>
      </c>
      <c r="N353" s="356">
        <f t="shared" ref="N353:N395" si="129">IF(M353&lt;&gt;"",M353,"")</f>
        <v>16</v>
      </c>
      <c r="O353" s="515">
        <f>1505-O352</f>
        <v>1455</v>
      </c>
      <c r="P353" s="515">
        <f t="shared" ref="P353:P354" si="130">IF(K353&lt;&gt;"",O353,0)</f>
        <v>1455</v>
      </c>
      <c r="Q353" s="516">
        <f t="shared" ref="Q353:Q354" si="131">O353*13</f>
        <v>18915</v>
      </c>
      <c r="R353" s="357">
        <f t="shared" ref="R353:R395" si="132">IF(M353&lt;&gt;"",20000,0)</f>
        <v>20000</v>
      </c>
      <c r="S353" s="357">
        <f t="shared" ref="S353:S395" si="133">IF(M353&lt;&gt;"",R353*Q353*N353/1000,"")</f>
        <v>6052800</v>
      </c>
      <c r="T353" s="357"/>
    </row>
    <row r="354" spans="1:20">
      <c r="A354" s="356">
        <v>3</v>
      </c>
      <c r="B354" s="253" t="s">
        <v>123</v>
      </c>
      <c r="C354" s="309">
        <v>153.86000000000001</v>
      </c>
      <c r="D354" s="255"/>
      <c r="E354" s="255"/>
      <c r="F354" s="254">
        <f>C354*D352</f>
        <v>3491083.4000000004</v>
      </c>
      <c r="G354" s="255"/>
      <c r="I354" s="489">
        <v>3</v>
      </c>
      <c r="J354" s="355">
        <v>42929</v>
      </c>
      <c r="K354" s="355">
        <v>42944</v>
      </c>
      <c r="L354" s="356" t="s">
        <v>144</v>
      </c>
      <c r="M354" s="356">
        <f t="shared" si="128"/>
        <v>16</v>
      </c>
      <c r="N354" s="356">
        <f t="shared" si="129"/>
        <v>16</v>
      </c>
      <c r="O354" s="515">
        <v>575</v>
      </c>
      <c r="P354" s="515">
        <f t="shared" si="130"/>
        <v>575</v>
      </c>
      <c r="Q354" s="516">
        <f t="shared" si="131"/>
        <v>7475</v>
      </c>
      <c r="R354" s="357">
        <f t="shared" si="132"/>
        <v>20000</v>
      </c>
      <c r="S354" s="357">
        <f t="shared" si="133"/>
        <v>2392000</v>
      </c>
      <c r="T354" s="357"/>
    </row>
    <row r="355" spans="1:20">
      <c r="A355" s="489">
        <v>4</v>
      </c>
      <c r="B355" s="253" t="s">
        <v>880</v>
      </c>
      <c r="C355" s="310"/>
      <c r="D355" s="255"/>
      <c r="E355" s="255"/>
      <c r="F355" s="255">
        <f>18*53000000</f>
        <v>954000000</v>
      </c>
      <c r="G355" s="255"/>
      <c r="I355" s="489">
        <v>4</v>
      </c>
      <c r="J355" s="355">
        <v>42929</v>
      </c>
      <c r="K355" s="355">
        <v>42945</v>
      </c>
      <c r="L355" s="356" t="s">
        <v>144</v>
      </c>
      <c r="M355" s="356">
        <f t="shared" ref="M355:M372" si="134">IF(K355&lt;&gt;"",K355-J355+1,"")</f>
        <v>17</v>
      </c>
      <c r="N355" s="356">
        <f t="shared" si="129"/>
        <v>17</v>
      </c>
      <c r="O355" s="515">
        <f>2054-O354</f>
        <v>1479</v>
      </c>
      <c r="P355" s="515">
        <f t="shared" ref="P355:P372" si="135">IF(K355&lt;&gt;"",O355,0)</f>
        <v>1479</v>
      </c>
      <c r="Q355" s="516">
        <f t="shared" ref="Q355:Q372" si="136">O355*13</f>
        <v>19227</v>
      </c>
      <c r="R355" s="357">
        <f t="shared" si="132"/>
        <v>20000</v>
      </c>
      <c r="S355" s="357">
        <f t="shared" si="133"/>
        <v>6537180</v>
      </c>
      <c r="T355" s="357"/>
    </row>
    <row r="356" spans="1:20">
      <c r="A356" s="356">
        <v>5</v>
      </c>
      <c r="B356" s="253" t="s">
        <v>391</v>
      </c>
      <c r="C356" s="310"/>
      <c r="D356" s="255"/>
      <c r="E356" s="255"/>
      <c r="F356" s="255">
        <f>S397</f>
        <v>58770140</v>
      </c>
      <c r="G356" s="255"/>
      <c r="I356" s="489">
        <v>5</v>
      </c>
      <c r="J356" s="355">
        <v>42930</v>
      </c>
      <c r="K356" s="355">
        <v>42945</v>
      </c>
      <c r="L356" s="356" t="s">
        <v>282</v>
      </c>
      <c r="M356" s="356">
        <f t="shared" si="134"/>
        <v>16</v>
      </c>
      <c r="N356" s="356">
        <f t="shared" si="129"/>
        <v>16</v>
      </c>
      <c r="O356" s="515">
        <v>598</v>
      </c>
      <c r="P356" s="515">
        <f t="shared" si="135"/>
        <v>598</v>
      </c>
      <c r="Q356" s="516">
        <f t="shared" si="136"/>
        <v>7774</v>
      </c>
      <c r="R356" s="357">
        <f t="shared" si="132"/>
        <v>20000</v>
      </c>
      <c r="S356" s="357">
        <f t="shared" si="133"/>
        <v>2487680</v>
      </c>
      <c r="T356" s="357"/>
    </row>
    <row r="357" spans="1:20">
      <c r="A357" s="489">
        <v>6</v>
      </c>
      <c r="B357" s="256" t="s">
        <v>547</v>
      </c>
      <c r="C357" s="263"/>
      <c r="D357" s="258"/>
      <c r="E357" s="258"/>
      <c r="F357" s="254">
        <v>1100000</v>
      </c>
      <c r="G357" s="255">
        <v>1332695000</v>
      </c>
      <c r="I357" s="489">
        <v>6</v>
      </c>
      <c r="J357" s="355">
        <v>42930</v>
      </c>
      <c r="K357" s="355">
        <v>42945</v>
      </c>
      <c r="L357" s="356" t="s">
        <v>821</v>
      </c>
      <c r="M357" s="356">
        <f t="shared" si="134"/>
        <v>16</v>
      </c>
      <c r="N357" s="356">
        <f t="shared" si="129"/>
        <v>16</v>
      </c>
      <c r="O357" s="515">
        <v>408</v>
      </c>
      <c r="P357" s="515">
        <f t="shared" si="135"/>
        <v>408</v>
      </c>
      <c r="Q357" s="516">
        <f t="shared" si="136"/>
        <v>5304</v>
      </c>
      <c r="R357" s="357">
        <f t="shared" si="132"/>
        <v>20000</v>
      </c>
      <c r="S357" s="357">
        <f t="shared" si="133"/>
        <v>1697280</v>
      </c>
      <c r="T357" s="357"/>
    </row>
    <row r="358" spans="1:20">
      <c r="A358" s="356">
        <v>7</v>
      </c>
      <c r="B358" s="256" t="s">
        <v>152</v>
      </c>
      <c r="C358" s="310"/>
      <c r="D358" s="255"/>
      <c r="E358" s="255"/>
      <c r="F358" s="254">
        <v>1100000</v>
      </c>
      <c r="G358" s="255">
        <v>1300000000</v>
      </c>
      <c r="I358" s="489">
        <v>7</v>
      </c>
      <c r="J358" s="355">
        <v>42931</v>
      </c>
      <c r="K358" s="355">
        <v>42945</v>
      </c>
      <c r="L358" s="356" t="s">
        <v>822</v>
      </c>
      <c r="M358" s="356">
        <f t="shared" si="134"/>
        <v>15</v>
      </c>
      <c r="N358" s="356">
        <f t="shared" si="129"/>
        <v>15</v>
      </c>
      <c r="O358" s="515">
        <v>450</v>
      </c>
      <c r="P358" s="515">
        <f t="shared" si="135"/>
        <v>450</v>
      </c>
      <c r="Q358" s="516">
        <f t="shared" si="136"/>
        <v>5850</v>
      </c>
      <c r="R358" s="357">
        <f t="shared" si="132"/>
        <v>20000</v>
      </c>
      <c r="S358" s="357">
        <f t="shared" si="133"/>
        <v>1755000</v>
      </c>
      <c r="T358" s="357"/>
    </row>
    <row r="359" spans="1:20">
      <c r="A359" s="489">
        <v>8</v>
      </c>
      <c r="B359" s="256" t="s">
        <v>400</v>
      </c>
      <c r="C359" s="310"/>
      <c r="D359" s="255"/>
      <c r="E359" s="255"/>
      <c r="F359" s="254">
        <v>1100000</v>
      </c>
      <c r="G359" s="255">
        <v>1313000000</v>
      </c>
      <c r="I359" s="489">
        <v>8</v>
      </c>
      <c r="J359" s="355">
        <v>42931</v>
      </c>
      <c r="K359" s="355">
        <v>42945</v>
      </c>
      <c r="L359" s="356" t="s">
        <v>823</v>
      </c>
      <c r="M359" s="356">
        <f t="shared" si="134"/>
        <v>15</v>
      </c>
      <c r="N359" s="356">
        <f t="shared" si="129"/>
        <v>15</v>
      </c>
      <c r="O359" s="515">
        <v>430</v>
      </c>
      <c r="P359" s="515">
        <f t="shared" si="135"/>
        <v>430</v>
      </c>
      <c r="Q359" s="516">
        <f t="shared" si="136"/>
        <v>5590</v>
      </c>
      <c r="R359" s="357">
        <f t="shared" si="132"/>
        <v>20000</v>
      </c>
      <c r="S359" s="357">
        <f t="shared" si="133"/>
        <v>1677000</v>
      </c>
      <c r="T359" s="357"/>
    </row>
    <row r="360" spans="1:20">
      <c r="A360" s="356">
        <v>9</v>
      </c>
      <c r="B360" s="256" t="s">
        <v>394</v>
      </c>
      <c r="C360" s="310"/>
      <c r="D360" s="255"/>
      <c r="E360" s="255"/>
      <c r="F360" s="254">
        <v>1100000</v>
      </c>
      <c r="G360" s="255">
        <v>1397242000</v>
      </c>
      <c r="I360" s="489">
        <v>9</v>
      </c>
      <c r="J360" s="355">
        <v>42931</v>
      </c>
      <c r="K360" s="355">
        <v>42945</v>
      </c>
      <c r="L360" s="356" t="s">
        <v>824</v>
      </c>
      <c r="M360" s="356">
        <f t="shared" si="134"/>
        <v>15</v>
      </c>
      <c r="N360" s="356">
        <f t="shared" si="129"/>
        <v>15</v>
      </c>
      <c r="O360" s="515">
        <v>450</v>
      </c>
      <c r="P360" s="515">
        <f t="shared" si="135"/>
        <v>450</v>
      </c>
      <c r="Q360" s="516">
        <f t="shared" si="136"/>
        <v>5850</v>
      </c>
      <c r="R360" s="357">
        <f t="shared" si="132"/>
        <v>20000</v>
      </c>
      <c r="S360" s="357">
        <f t="shared" si="133"/>
        <v>1755000</v>
      </c>
      <c r="T360" s="357"/>
    </row>
    <row r="361" spans="1:20">
      <c r="A361" s="329"/>
      <c r="B361" s="329"/>
      <c r="C361" s="338"/>
      <c r="D361" s="258"/>
      <c r="E361" s="258"/>
      <c r="F361" s="339"/>
      <c r="G361" s="258"/>
      <c r="I361" s="489">
        <v>10</v>
      </c>
      <c r="J361" s="355">
        <v>42931</v>
      </c>
      <c r="K361" s="355">
        <v>42945</v>
      </c>
      <c r="L361" s="356" t="s">
        <v>825</v>
      </c>
      <c r="M361" s="356">
        <f t="shared" si="134"/>
        <v>15</v>
      </c>
      <c r="N361" s="356">
        <f t="shared" si="129"/>
        <v>15</v>
      </c>
      <c r="O361" s="515">
        <v>600</v>
      </c>
      <c r="P361" s="515">
        <f t="shared" si="135"/>
        <v>600</v>
      </c>
      <c r="Q361" s="516">
        <f t="shared" si="136"/>
        <v>7800</v>
      </c>
      <c r="R361" s="357">
        <f t="shared" si="132"/>
        <v>20000</v>
      </c>
      <c r="S361" s="357">
        <f t="shared" si="133"/>
        <v>2340000</v>
      </c>
      <c r="T361" s="357"/>
    </row>
    <row r="362" spans="1:20">
      <c r="A362" s="376"/>
      <c r="B362" s="376" t="s">
        <v>57</v>
      </c>
      <c r="C362" s="377"/>
      <c r="D362" s="378"/>
      <c r="E362" s="378">
        <f>SUM(E352:E361)</f>
        <v>6363598361.2000008</v>
      </c>
      <c r="F362" s="378">
        <f>SUM(F352:F361)</f>
        <v>1020661223.4</v>
      </c>
      <c r="G362" s="378">
        <f>SUM(G352:G361)</f>
        <v>5342937000</v>
      </c>
      <c r="I362" s="489">
        <v>11</v>
      </c>
      <c r="J362" s="355">
        <v>42931</v>
      </c>
      <c r="K362" s="355">
        <v>42945</v>
      </c>
      <c r="L362" s="356" t="s">
        <v>186</v>
      </c>
      <c r="M362" s="356">
        <f t="shared" si="134"/>
        <v>15</v>
      </c>
      <c r="N362" s="356">
        <f t="shared" si="129"/>
        <v>15</v>
      </c>
      <c r="O362" s="515">
        <v>229</v>
      </c>
      <c r="P362" s="515">
        <f t="shared" si="135"/>
        <v>229</v>
      </c>
      <c r="Q362" s="516">
        <f t="shared" si="136"/>
        <v>2977</v>
      </c>
      <c r="R362" s="357">
        <f t="shared" si="132"/>
        <v>20000</v>
      </c>
      <c r="S362" s="357">
        <f t="shared" si="133"/>
        <v>893100</v>
      </c>
      <c r="T362" s="357"/>
    </row>
    <row r="363" spans="1:20">
      <c r="I363" s="489">
        <v>12</v>
      </c>
      <c r="J363" s="355">
        <v>42931</v>
      </c>
      <c r="K363" s="355">
        <v>42945</v>
      </c>
      <c r="L363" s="356" t="s">
        <v>186</v>
      </c>
      <c r="M363" s="356">
        <f t="shared" si="134"/>
        <v>15</v>
      </c>
      <c r="N363" s="356">
        <f t="shared" si="129"/>
        <v>15</v>
      </c>
      <c r="O363" s="515">
        <v>515</v>
      </c>
      <c r="P363" s="515">
        <f t="shared" si="135"/>
        <v>515</v>
      </c>
      <c r="Q363" s="516">
        <f t="shared" si="136"/>
        <v>6695</v>
      </c>
      <c r="R363" s="357">
        <f t="shared" si="132"/>
        <v>20000</v>
      </c>
      <c r="S363" s="357">
        <f t="shared" si="133"/>
        <v>2008500</v>
      </c>
      <c r="T363" s="357"/>
    </row>
    <row r="364" spans="1:20" ht="15.75">
      <c r="B364" s="162" t="s">
        <v>749</v>
      </c>
      <c r="I364" s="489">
        <v>13</v>
      </c>
      <c r="J364" s="355">
        <v>42931</v>
      </c>
      <c r="K364" s="355">
        <v>42945</v>
      </c>
      <c r="L364" s="356" t="s">
        <v>826</v>
      </c>
      <c r="M364" s="356">
        <f t="shared" si="134"/>
        <v>15</v>
      </c>
      <c r="N364" s="356">
        <f t="shared" si="129"/>
        <v>15</v>
      </c>
      <c r="O364" s="515">
        <v>534</v>
      </c>
      <c r="P364" s="515">
        <f t="shared" si="135"/>
        <v>534</v>
      </c>
      <c r="Q364" s="516">
        <f t="shared" si="136"/>
        <v>6942</v>
      </c>
      <c r="R364" s="357">
        <f t="shared" si="132"/>
        <v>20000</v>
      </c>
      <c r="S364" s="357">
        <f t="shared" si="133"/>
        <v>2082600</v>
      </c>
      <c r="T364" s="357"/>
    </row>
    <row r="365" spans="1:20">
      <c r="G365" s="342">
        <f>E362-F362-G362</f>
        <v>137.80000114440918</v>
      </c>
      <c r="I365" s="489">
        <v>14</v>
      </c>
      <c r="J365" s="355">
        <v>42933</v>
      </c>
      <c r="K365" s="355">
        <v>42945</v>
      </c>
      <c r="L365" s="356" t="s">
        <v>828</v>
      </c>
      <c r="M365" s="356">
        <f t="shared" si="134"/>
        <v>13</v>
      </c>
      <c r="N365" s="356">
        <f t="shared" si="129"/>
        <v>13</v>
      </c>
      <c r="O365" s="515">
        <v>310</v>
      </c>
      <c r="P365" s="515">
        <f t="shared" si="135"/>
        <v>310</v>
      </c>
      <c r="Q365" s="516">
        <f t="shared" si="136"/>
        <v>4030</v>
      </c>
      <c r="R365" s="357">
        <f t="shared" si="132"/>
        <v>20000</v>
      </c>
      <c r="S365" s="357">
        <f t="shared" si="133"/>
        <v>1047800</v>
      </c>
      <c r="T365" s="357"/>
    </row>
    <row r="366" spans="1:20">
      <c r="I366" s="489">
        <v>15</v>
      </c>
      <c r="J366" s="355">
        <v>42933</v>
      </c>
      <c r="K366" s="355">
        <v>42945</v>
      </c>
      <c r="L366" s="356" t="s">
        <v>830</v>
      </c>
      <c r="M366" s="356">
        <f t="shared" si="134"/>
        <v>13</v>
      </c>
      <c r="N366" s="356">
        <f t="shared" si="129"/>
        <v>13</v>
      </c>
      <c r="O366" s="515">
        <v>74</v>
      </c>
      <c r="P366" s="515">
        <f t="shared" si="135"/>
        <v>74</v>
      </c>
      <c r="Q366" s="516">
        <f t="shared" si="136"/>
        <v>962</v>
      </c>
      <c r="R366" s="357">
        <f t="shared" si="132"/>
        <v>20000</v>
      </c>
      <c r="S366" s="357">
        <f t="shared" si="133"/>
        <v>250120</v>
      </c>
      <c r="T366" s="357"/>
    </row>
    <row r="367" spans="1:20">
      <c r="I367" s="489">
        <v>16</v>
      </c>
      <c r="J367" s="355">
        <v>42934</v>
      </c>
      <c r="K367" s="355">
        <v>42945</v>
      </c>
      <c r="L367" s="356" t="s">
        <v>829</v>
      </c>
      <c r="M367" s="356">
        <f t="shared" si="134"/>
        <v>12</v>
      </c>
      <c r="N367" s="356">
        <f t="shared" si="129"/>
        <v>12</v>
      </c>
      <c r="O367" s="515">
        <v>250</v>
      </c>
      <c r="P367" s="515">
        <f t="shared" si="135"/>
        <v>250</v>
      </c>
      <c r="Q367" s="516">
        <f t="shared" si="136"/>
        <v>3250</v>
      </c>
      <c r="R367" s="357">
        <f t="shared" si="132"/>
        <v>20000</v>
      </c>
      <c r="S367" s="357">
        <f t="shared" si="133"/>
        <v>780000</v>
      </c>
      <c r="T367" s="357"/>
    </row>
    <row r="368" spans="1:20">
      <c r="I368" s="489">
        <v>17</v>
      </c>
      <c r="J368" s="355">
        <v>42934</v>
      </c>
      <c r="K368" s="355">
        <v>42945</v>
      </c>
      <c r="L368" s="356" t="s">
        <v>370</v>
      </c>
      <c r="M368" s="356">
        <f t="shared" si="134"/>
        <v>12</v>
      </c>
      <c r="N368" s="356">
        <f t="shared" si="129"/>
        <v>12</v>
      </c>
      <c r="O368" s="515">
        <v>451</v>
      </c>
      <c r="P368" s="515">
        <f t="shared" si="135"/>
        <v>451</v>
      </c>
      <c r="Q368" s="516">
        <f t="shared" si="136"/>
        <v>5863</v>
      </c>
      <c r="R368" s="357">
        <f t="shared" si="132"/>
        <v>20000</v>
      </c>
      <c r="S368" s="357">
        <f t="shared" si="133"/>
        <v>1407120</v>
      </c>
      <c r="T368" s="357"/>
    </row>
    <row r="369" spans="1:20">
      <c r="I369" s="489">
        <v>18</v>
      </c>
      <c r="J369" s="355">
        <v>42934</v>
      </c>
      <c r="K369" s="355">
        <v>42945</v>
      </c>
      <c r="L369" s="356" t="s">
        <v>92</v>
      </c>
      <c r="M369" s="356">
        <f t="shared" si="134"/>
        <v>12</v>
      </c>
      <c r="N369" s="356">
        <f t="shared" si="129"/>
        <v>12</v>
      </c>
      <c r="O369" s="515">
        <v>338</v>
      </c>
      <c r="P369" s="515">
        <f t="shared" si="135"/>
        <v>338</v>
      </c>
      <c r="Q369" s="516">
        <f t="shared" si="136"/>
        <v>4394</v>
      </c>
      <c r="R369" s="357">
        <f t="shared" si="132"/>
        <v>20000</v>
      </c>
      <c r="S369" s="357">
        <f t="shared" si="133"/>
        <v>1054560</v>
      </c>
      <c r="T369" s="357"/>
    </row>
    <row r="370" spans="1:20">
      <c r="A370" s="520" t="s">
        <v>0</v>
      </c>
      <c r="B370" s="520" t="s">
        <v>21</v>
      </c>
      <c r="C370" s="861" t="s">
        <v>798</v>
      </c>
      <c r="D370" s="862"/>
      <c r="E370" s="519" t="s">
        <v>799</v>
      </c>
      <c r="F370" s="519" t="s">
        <v>800</v>
      </c>
      <c r="I370" s="489">
        <v>19</v>
      </c>
      <c r="J370" s="355">
        <v>42934</v>
      </c>
      <c r="K370" s="355">
        <v>42945</v>
      </c>
      <c r="L370" s="356" t="s">
        <v>821</v>
      </c>
      <c r="M370" s="356">
        <f t="shared" si="134"/>
        <v>12</v>
      </c>
      <c r="N370" s="356">
        <f t="shared" si="129"/>
        <v>12</v>
      </c>
      <c r="O370" s="515">
        <v>450</v>
      </c>
      <c r="P370" s="515">
        <f t="shared" si="135"/>
        <v>450</v>
      </c>
      <c r="Q370" s="516">
        <f t="shared" si="136"/>
        <v>5850</v>
      </c>
      <c r="R370" s="357">
        <f t="shared" si="132"/>
        <v>20000</v>
      </c>
      <c r="S370" s="357">
        <f t="shared" si="133"/>
        <v>1404000</v>
      </c>
      <c r="T370" s="357"/>
    </row>
    <row r="371" spans="1:20">
      <c r="A371" s="489">
        <v>1</v>
      </c>
      <c r="B371" s="253" t="s">
        <v>801</v>
      </c>
      <c r="C371" s="863">
        <v>2130000000</v>
      </c>
      <c r="D371" s="864"/>
      <c r="E371" s="255">
        <f>C371*D371</f>
        <v>0</v>
      </c>
      <c r="F371" s="476">
        <f>C371-E371</f>
        <v>2130000000</v>
      </c>
      <c r="I371" s="489">
        <v>20</v>
      </c>
      <c r="J371" s="355">
        <v>42934</v>
      </c>
      <c r="K371" s="355">
        <v>42945</v>
      </c>
      <c r="L371" s="356" t="s">
        <v>686</v>
      </c>
      <c r="M371" s="356">
        <f t="shared" si="134"/>
        <v>12</v>
      </c>
      <c r="N371" s="356">
        <f t="shared" si="129"/>
        <v>12</v>
      </c>
      <c r="O371" s="515">
        <v>512</v>
      </c>
      <c r="P371" s="515">
        <f t="shared" si="135"/>
        <v>512</v>
      </c>
      <c r="Q371" s="516">
        <f t="shared" si="136"/>
        <v>6656</v>
      </c>
      <c r="R371" s="357">
        <f t="shared" si="132"/>
        <v>20000</v>
      </c>
      <c r="S371" s="357">
        <f t="shared" si="133"/>
        <v>1597440</v>
      </c>
      <c r="T371" s="357"/>
    </row>
    <row r="372" spans="1:20">
      <c r="A372" s="489">
        <v>2</v>
      </c>
      <c r="B372" s="253" t="s">
        <v>881</v>
      </c>
      <c r="C372" s="863">
        <v>4900000000</v>
      </c>
      <c r="D372" s="864"/>
      <c r="E372" s="255"/>
      <c r="F372" s="477">
        <f>F371+C372-E372</f>
        <v>7030000000</v>
      </c>
      <c r="I372" s="489">
        <v>21</v>
      </c>
      <c r="J372" s="355">
        <v>42935</v>
      </c>
      <c r="K372" s="355">
        <v>42945</v>
      </c>
      <c r="L372" s="356" t="s">
        <v>823</v>
      </c>
      <c r="M372" s="356">
        <f t="shared" si="134"/>
        <v>11</v>
      </c>
      <c r="N372" s="356">
        <f t="shared" si="129"/>
        <v>11</v>
      </c>
      <c r="O372" s="515">
        <v>42</v>
      </c>
      <c r="P372" s="515">
        <f t="shared" si="135"/>
        <v>42</v>
      </c>
      <c r="Q372" s="516">
        <f t="shared" si="136"/>
        <v>546</v>
      </c>
      <c r="R372" s="357">
        <f t="shared" si="132"/>
        <v>20000</v>
      </c>
      <c r="S372" s="357">
        <f t="shared" si="133"/>
        <v>120120</v>
      </c>
      <c r="T372" s="357"/>
    </row>
    <row r="373" spans="1:20">
      <c r="A373" s="489">
        <v>3</v>
      </c>
      <c r="B373" s="253" t="s">
        <v>803</v>
      </c>
      <c r="C373" s="863"/>
      <c r="D373" s="864"/>
      <c r="E373" s="255">
        <f>G365</f>
        <v>137.80000114440918</v>
      </c>
      <c r="F373" s="477">
        <f t="shared" ref="F373" si="137">F372+C373-E373</f>
        <v>7029999862.1999989</v>
      </c>
      <c r="I373" s="489">
        <v>22</v>
      </c>
      <c r="J373" s="355">
        <v>42935</v>
      </c>
      <c r="K373" s="355">
        <v>42946</v>
      </c>
      <c r="L373" s="356" t="s">
        <v>823</v>
      </c>
      <c r="M373" s="356">
        <f t="shared" ref="M373:M388" si="138">IF(K373&lt;&gt;"",K373-J373+1,"")</f>
        <v>12</v>
      </c>
      <c r="N373" s="356">
        <f t="shared" si="129"/>
        <v>12</v>
      </c>
      <c r="O373" s="515">
        <f>450-O372</f>
        <v>408</v>
      </c>
      <c r="P373" s="515">
        <f>IF(K373&lt;&gt;"",O373,0)</f>
        <v>408</v>
      </c>
      <c r="Q373" s="516">
        <f t="shared" ref="Q373:Q389" si="139">O373*13</f>
        <v>5304</v>
      </c>
      <c r="R373" s="357">
        <f t="shared" si="132"/>
        <v>20000</v>
      </c>
      <c r="S373" s="357">
        <f t="shared" si="133"/>
        <v>1272960</v>
      </c>
      <c r="T373" s="357"/>
    </row>
    <row r="374" spans="1:20">
      <c r="A374" s="329"/>
      <c r="B374" s="253"/>
      <c r="C374" s="863"/>
      <c r="D374" s="864"/>
      <c r="E374" s="255"/>
      <c r="F374" s="478"/>
      <c r="I374" s="489">
        <v>23</v>
      </c>
      <c r="J374" s="355">
        <v>42935</v>
      </c>
      <c r="K374" s="355">
        <v>42946</v>
      </c>
      <c r="L374" s="356" t="s">
        <v>831</v>
      </c>
      <c r="M374" s="356">
        <f t="shared" si="138"/>
        <v>12</v>
      </c>
      <c r="N374" s="356">
        <f t="shared" si="129"/>
        <v>12</v>
      </c>
      <c r="O374" s="515">
        <v>450</v>
      </c>
      <c r="P374" s="515">
        <f t="shared" ref="P374:P389" si="140">IF(K374&lt;&gt;"",O374,0)</f>
        <v>450</v>
      </c>
      <c r="Q374" s="516">
        <f t="shared" si="139"/>
        <v>5850</v>
      </c>
      <c r="R374" s="357">
        <f t="shared" si="132"/>
        <v>20000</v>
      </c>
      <c r="S374" s="357">
        <f t="shared" si="133"/>
        <v>1404000</v>
      </c>
      <c r="T374" s="357"/>
    </row>
    <row r="375" spans="1:20">
      <c r="A375" s="376"/>
      <c r="B375" s="376" t="s">
        <v>57</v>
      </c>
      <c r="C375" s="856">
        <f>SUM(C371:C374)</f>
        <v>7030000000</v>
      </c>
      <c r="D375" s="857"/>
      <c r="E375" s="378">
        <f>SUM(E371:E374)</f>
        <v>137.80000114440918</v>
      </c>
      <c r="F375" s="364">
        <f>C375-E375</f>
        <v>7029999862.1999989</v>
      </c>
      <c r="I375" s="489">
        <v>24</v>
      </c>
      <c r="J375" s="355">
        <v>42935</v>
      </c>
      <c r="K375" s="355">
        <v>42946</v>
      </c>
      <c r="L375" s="356" t="s">
        <v>93</v>
      </c>
      <c r="M375" s="356">
        <f t="shared" si="138"/>
        <v>12</v>
      </c>
      <c r="N375" s="356">
        <f t="shared" si="129"/>
        <v>12</v>
      </c>
      <c r="O375" s="515">
        <v>460</v>
      </c>
      <c r="P375" s="515">
        <f t="shared" si="140"/>
        <v>460</v>
      </c>
      <c r="Q375" s="516">
        <f t="shared" si="139"/>
        <v>5980</v>
      </c>
      <c r="R375" s="357">
        <f t="shared" si="132"/>
        <v>20000</v>
      </c>
      <c r="S375" s="357">
        <f t="shared" si="133"/>
        <v>1435200</v>
      </c>
      <c r="T375" s="357"/>
    </row>
    <row r="376" spans="1:20">
      <c r="I376" s="489">
        <v>25</v>
      </c>
      <c r="J376" s="355">
        <v>42935</v>
      </c>
      <c r="K376" s="355">
        <v>42946</v>
      </c>
      <c r="L376" s="356" t="s">
        <v>832</v>
      </c>
      <c r="M376" s="356">
        <f t="shared" si="138"/>
        <v>12</v>
      </c>
      <c r="N376" s="356">
        <f t="shared" si="129"/>
        <v>12</v>
      </c>
      <c r="O376" s="515">
        <v>604</v>
      </c>
      <c r="P376" s="515">
        <f t="shared" si="140"/>
        <v>604</v>
      </c>
      <c r="Q376" s="516">
        <f t="shared" si="139"/>
        <v>7852</v>
      </c>
      <c r="R376" s="357">
        <f t="shared" si="132"/>
        <v>20000</v>
      </c>
      <c r="S376" s="357">
        <f t="shared" si="133"/>
        <v>1884480</v>
      </c>
      <c r="T376" s="357"/>
    </row>
    <row r="377" spans="1:20">
      <c r="I377" s="489">
        <v>26</v>
      </c>
      <c r="J377" s="355">
        <v>42935</v>
      </c>
      <c r="K377" s="355">
        <v>42946</v>
      </c>
      <c r="L377" s="356" t="s">
        <v>186</v>
      </c>
      <c r="M377" s="356">
        <f t="shared" si="138"/>
        <v>12</v>
      </c>
      <c r="N377" s="356">
        <f t="shared" si="129"/>
        <v>12</v>
      </c>
      <c r="O377" s="515">
        <v>60</v>
      </c>
      <c r="P377" s="515">
        <f t="shared" si="140"/>
        <v>60</v>
      </c>
      <c r="Q377" s="516">
        <f t="shared" si="139"/>
        <v>780</v>
      </c>
      <c r="R377" s="357">
        <f t="shared" si="132"/>
        <v>20000</v>
      </c>
      <c r="S377" s="357">
        <f t="shared" si="133"/>
        <v>187200</v>
      </c>
      <c r="T377" s="357"/>
    </row>
    <row r="378" spans="1:20">
      <c r="I378" s="489">
        <v>27</v>
      </c>
      <c r="J378" s="355">
        <v>42935</v>
      </c>
      <c r="K378" s="355">
        <v>42946</v>
      </c>
      <c r="L378" s="356" t="s">
        <v>833</v>
      </c>
      <c r="M378" s="356">
        <f t="shared" si="138"/>
        <v>12</v>
      </c>
      <c r="N378" s="356">
        <f t="shared" si="129"/>
        <v>12</v>
      </c>
      <c r="O378" s="515">
        <v>373</v>
      </c>
      <c r="P378" s="515">
        <f t="shared" si="140"/>
        <v>373</v>
      </c>
      <c r="Q378" s="516">
        <f t="shared" si="139"/>
        <v>4849</v>
      </c>
      <c r="R378" s="357">
        <f t="shared" si="132"/>
        <v>20000</v>
      </c>
      <c r="S378" s="357">
        <f t="shared" si="133"/>
        <v>1163760</v>
      </c>
      <c r="T378" s="357"/>
    </row>
    <row r="379" spans="1:20">
      <c r="I379" s="489">
        <v>28</v>
      </c>
      <c r="J379" s="355">
        <v>42935</v>
      </c>
      <c r="K379" s="355">
        <v>42946</v>
      </c>
      <c r="L379" s="356" t="s">
        <v>120</v>
      </c>
      <c r="M379" s="356">
        <f t="shared" si="138"/>
        <v>12</v>
      </c>
      <c r="N379" s="356">
        <f t="shared" si="129"/>
        <v>12</v>
      </c>
      <c r="O379" s="515">
        <v>162</v>
      </c>
      <c r="P379" s="515">
        <f t="shared" si="140"/>
        <v>162</v>
      </c>
      <c r="Q379" s="516">
        <f t="shared" si="139"/>
        <v>2106</v>
      </c>
      <c r="R379" s="357">
        <f t="shared" si="132"/>
        <v>20000</v>
      </c>
      <c r="S379" s="357">
        <f t="shared" si="133"/>
        <v>505440</v>
      </c>
      <c r="T379" s="357"/>
    </row>
    <row r="380" spans="1:20">
      <c r="I380" s="489">
        <v>29</v>
      </c>
      <c r="J380" s="355">
        <v>42935</v>
      </c>
      <c r="K380" s="355">
        <v>42946</v>
      </c>
      <c r="L380" s="356" t="s">
        <v>119</v>
      </c>
      <c r="M380" s="356">
        <f t="shared" si="138"/>
        <v>12</v>
      </c>
      <c r="N380" s="356">
        <f t="shared" si="129"/>
        <v>12</v>
      </c>
      <c r="O380" s="515">
        <v>1005</v>
      </c>
      <c r="P380" s="515">
        <f t="shared" si="140"/>
        <v>1005</v>
      </c>
      <c r="Q380" s="516">
        <f t="shared" si="139"/>
        <v>13065</v>
      </c>
      <c r="R380" s="357">
        <f t="shared" si="132"/>
        <v>20000</v>
      </c>
      <c r="S380" s="357">
        <f t="shared" si="133"/>
        <v>3135600</v>
      </c>
      <c r="T380" s="357"/>
    </row>
    <row r="381" spans="1:20">
      <c r="I381" s="489">
        <v>30</v>
      </c>
      <c r="J381" s="355">
        <v>42936</v>
      </c>
      <c r="K381" s="355">
        <v>42946</v>
      </c>
      <c r="L381" s="356" t="s">
        <v>370</v>
      </c>
      <c r="M381" s="356">
        <f t="shared" si="138"/>
        <v>11</v>
      </c>
      <c r="N381" s="356">
        <f t="shared" si="129"/>
        <v>11</v>
      </c>
      <c r="O381" s="515">
        <v>400</v>
      </c>
      <c r="P381" s="515">
        <f t="shared" si="140"/>
        <v>400</v>
      </c>
      <c r="Q381" s="516">
        <f t="shared" si="139"/>
        <v>5200</v>
      </c>
      <c r="R381" s="357">
        <f t="shared" si="132"/>
        <v>20000</v>
      </c>
      <c r="S381" s="357">
        <f t="shared" si="133"/>
        <v>1144000</v>
      </c>
      <c r="T381" s="357"/>
    </row>
    <row r="382" spans="1:20">
      <c r="I382" s="489">
        <v>31</v>
      </c>
      <c r="J382" s="355">
        <v>42936</v>
      </c>
      <c r="K382" s="355">
        <v>42946</v>
      </c>
      <c r="L382" s="356" t="s">
        <v>825</v>
      </c>
      <c r="M382" s="356">
        <f t="shared" si="138"/>
        <v>11</v>
      </c>
      <c r="N382" s="356">
        <f t="shared" si="129"/>
        <v>11</v>
      </c>
      <c r="O382" s="515">
        <v>250</v>
      </c>
      <c r="P382" s="515">
        <f t="shared" si="140"/>
        <v>250</v>
      </c>
      <c r="Q382" s="516">
        <f t="shared" si="139"/>
        <v>3250</v>
      </c>
      <c r="R382" s="357">
        <f t="shared" si="132"/>
        <v>20000</v>
      </c>
      <c r="S382" s="357">
        <f t="shared" si="133"/>
        <v>715000</v>
      </c>
      <c r="T382" s="357"/>
    </row>
    <row r="383" spans="1:20">
      <c r="I383" s="489">
        <v>32</v>
      </c>
      <c r="J383" s="355">
        <v>42936</v>
      </c>
      <c r="K383" s="355">
        <v>42946</v>
      </c>
      <c r="L383" s="356" t="s">
        <v>102</v>
      </c>
      <c r="M383" s="356">
        <f t="shared" si="138"/>
        <v>11</v>
      </c>
      <c r="N383" s="356">
        <f t="shared" si="129"/>
        <v>11</v>
      </c>
      <c r="O383" s="515">
        <v>450</v>
      </c>
      <c r="P383" s="515">
        <f t="shared" si="140"/>
        <v>450</v>
      </c>
      <c r="Q383" s="516">
        <f t="shared" si="139"/>
        <v>5850</v>
      </c>
      <c r="R383" s="357">
        <f t="shared" si="132"/>
        <v>20000</v>
      </c>
      <c r="S383" s="357">
        <f t="shared" si="133"/>
        <v>1287000</v>
      </c>
      <c r="T383" s="357"/>
    </row>
    <row r="384" spans="1:20">
      <c r="I384" s="489">
        <v>33</v>
      </c>
      <c r="J384" s="355">
        <v>42936</v>
      </c>
      <c r="K384" s="355">
        <v>42946</v>
      </c>
      <c r="L384" s="356" t="s">
        <v>821</v>
      </c>
      <c r="M384" s="356">
        <f t="shared" si="138"/>
        <v>11</v>
      </c>
      <c r="N384" s="356">
        <f t="shared" si="129"/>
        <v>11</v>
      </c>
      <c r="O384" s="515">
        <v>450</v>
      </c>
      <c r="P384" s="515">
        <f t="shared" si="140"/>
        <v>450</v>
      </c>
      <c r="Q384" s="516">
        <f t="shared" si="139"/>
        <v>5850</v>
      </c>
      <c r="R384" s="357">
        <f t="shared" si="132"/>
        <v>20000</v>
      </c>
      <c r="S384" s="357">
        <f t="shared" si="133"/>
        <v>1287000</v>
      </c>
      <c r="T384" s="357"/>
    </row>
    <row r="385" spans="1:20">
      <c r="I385" s="489">
        <v>34</v>
      </c>
      <c r="J385" s="355">
        <v>42937</v>
      </c>
      <c r="K385" s="355">
        <v>42946</v>
      </c>
      <c r="L385" s="356" t="s">
        <v>840</v>
      </c>
      <c r="M385" s="356">
        <f t="shared" si="138"/>
        <v>10</v>
      </c>
      <c r="N385" s="356">
        <f t="shared" si="129"/>
        <v>10</v>
      </c>
      <c r="O385" s="515">
        <v>8</v>
      </c>
      <c r="P385" s="515">
        <f t="shared" si="140"/>
        <v>8</v>
      </c>
      <c r="Q385" s="516">
        <f t="shared" si="139"/>
        <v>104</v>
      </c>
      <c r="R385" s="357">
        <f t="shared" si="132"/>
        <v>20000</v>
      </c>
      <c r="S385" s="357">
        <f t="shared" si="133"/>
        <v>20800</v>
      </c>
      <c r="T385" s="357"/>
    </row>
    <row r="386" spans="1:20">
      <c r="I386" s="489">
        <v>35</v>
      </c>
      <c r="J386" s="355">
        <v>42937</v>
      </c>
      <c r="K386" s="355">
        <v>42946</v>
      </c>
      <c r="L386" s="356" t="s">
        <v>822</v>
      </c>
      <c r="M386" s="356">
        <f t="shared" si="138"/>
        <v>10</v>
      </c>
      <c r="N386" s="356">
        <f t="shared" si="129"/>
        <v>10</v>
      </c>
      <c r="O386" s="515">
        <v>115</v>
      </c>
      <c r="P386" s="515">
        <f t="shared" si="140"/>
        <v>115</v>
      </c>
      <c r="Q386" s="516">
        <f t="shared" si="139"/>
        <v>1495</v>
      </c>
      <c r="R386" s="357">
        <f t="shared" si="132"/>
        <v>20000</v>
      </c>
      <c r="S386" s="357">
        <f t="shared" si="133"/>
        <v>299000</v>
      </c>
      <c r="T386" s="357"/>
    </row>
    <row r="387" spans="1:20">
      <c r="I387" s="489">
        <v>36</v>
      </c>
      <c r="J387" s="355">
        <v>42941</v>
      </c>
      <c r="K387" s="355">
        <v>42946</v>
      </c>
      <c r="L387" s="356" t="s">
        <v>84</v>
      </c>
      <c r="M387" s="356">
        <f t="shared" si="138"/>
        <v>6</v>
      </c>
      <c r="N387" s="356">
        <f t="shared" si="129"/>
        <v>6</v>
      </c>
      <c r="O387" s="515">
        <v>450</v>
      </c>
      <c r="P387" s="515">
        <f t="shared" si="140"/>
        <v>450</v>
      </c>
      <c r="Q387" s="516">
        <f t="shared" si="139"/>
        <v>5850</v>
      </c>
      <c r="R387" s="357">
        <f t="shared" si="132"/>
        <v>20000</v>
      </c>
      <c r="S387" s="357">
        <f t="shared" si="133"/>
        <v>702000</v>
      </c>
      <c r="T387" s="357"/>
    </row>
    <row r="388" spans="1:20">
      <c r="I388" s="489">
        <v>37</v>
      </c>
      <c r="J388" s="355">
        <v>42941</v>
      </c>
      <c r="K388" s="355">
        <v>42946</v>
      </c>
      <c r="L388" s="356" t="s">
        <v>787</v>
      </c>
      <c r="M388" s="356">
        <f t="shared" si="138"/>
        <v>6</v>
      </c>
      <c r="N388" s="356">
        <f t="shared" si="129"/>
        <v>6</v>
      </c>
      <c r="O388" s="515">
        <v>445</v>
      </c>
      <c r="P388" s="515">
        <f t="shared" si="140"/>
        <v>445</v>
      </c>
      <c r="Q388" s="516">
        <f t="shared" si="139"/>
        <v>5785</v>
      </c>
      <c r="R388" s="357">
        <f t="shared" si="132"/>
        <v>20000</v>
      </c>
      <c r="S388" s="357">
        <f t="shared" si="133"/>
        <v>694200</v>
      </c>
      <c r="T388" s="357"/>
    </row>
    <row r="389" spans="1:20">
      <c r="I389" s="489">
        <v>38</v>
      </c>
      <c r="J389" s="355">
        <v>42941</v>
      </c>
      <c r="K389" s="355"/>
      <c r="L389" s="356" t="s">
        <v>787</v>
      </c>
      <c r="M389" s="356" t="str">
        <f t="shared" ref="M389" si="141">IF(K389&lt;&gt;"",K389-J389+1,"")</f>
        <v/>
      </c>
      <c r="N389" s="356" t="str">
        <f t="shared" si="129"/>
        <v/>
      </c>
      <c r="O389" s="515">
        <v>5</v>
      </c>
      <c r="P389" s="515">
        <f t="shared" si="140"/>
        <v>0</v>
      </c>
      <c r="Q389" s="516">
        <f t="shared" si="139"/>
        <v>65</v>
      </c>
      <c r="R389" s="357">
        <f t="shared" si="132"/>
        <v>0</v>
      </c>
      <c r="S389" s="357" t="str">
        <f t="shared" si="133"/>
        <v/>
      </c>
      <c r="T389" s="357"/>
    </row>
    <row r="390" spans="1:20">
      <c r="I390" s="489">
        <v>39</v>
      </c>
      <c r="J390" s="355">
        <v>42942</v>
      </c>
      <c r="K390" s="355"/>
      <c r="L390" s="356" t="s">
        <v>87</v>
      </c>
      <c r="M390" s="356" t="str">
        <f t="shared" ref="M390:M395" si="142">IF(K390&lt;&gt;"",K390-J390+1,"")</f>
        <v/>
      </c>
      <c r="N390" s="356" t="str">
        <f t="shared" si="129"/>
        <v/>
      </c>
      <c r="O390" s="515">
        <v>575</v>
      </c>
      <c r="P390" s="515">
        <f t="shared" ref="P390:P395" si="143">IF(K390&lt;&gt;"",O390,0)</f>
        <v>0</v>
      </c>
      <c r="Q390" s="516">
        <f t="shared" ref="Q390:Q395" si="144">O390*13</f>
        <v>7475</v>
      </c>
      <c r="R390" s="357">
        <f t="shared" si="132"/>
        <v>0</v>
      </c>
      <c r="S390" s="357" t="str">
        <f t="shared" si="133"/>
        <v/>
      </c>
      <c r="T390" s="357"/>
    </row>
    <row r="391" spans="1:20">
      <c r="I391" s="489">
        <v>40</v>
      </c>
      <c r="J391" s="355">
        <v>42942</v>
      </c>
      <c r="K391" s="355"/>
      <c r="L391" s="356" t="s">
        <v>875</v>
      </c>
      <c r="M391" s="356" t="str">
        <f t="shared" si="142"/>
        <v/>
      </c>
      <c r="N391" s="356" t="str">
        <f t="shared" si="129"/>
        <v/>
      </c>
      <c r="O391" s="515">
        <v>440</v>
      </c>
      <c r="P391" s="515">
        <f t="shared" si="143"/>
        <v>0</v>
      </c>
      <c r="Q391" s="516">
        <f t="shared" si="144"/>
        <v>5720</v>
      </c>
      <c r="R391" s="357">
        <f t="shared" si="132"/>
        <v>0</v>
      </c>
      <c r="S391" s="357" t="str">
        <f t="shared" si="133"/>
        <v/>
      </c>
      <c r="T391" s="357"/>
    </row>
    <row r="392" spans="1:20">
      <c r="I392" s="489">
        <v>41</v>
      </c>
      <c r="J392" s="355">
        <v>42943</v>
      </c>
      <c r="K392" s="355">
        <v>42943</v>
      </c>
      <c r="L392" s="356" t="s">
        <v>876</v>
      </c>
      <c r="M392" s="356">
        <f t="shared" si="142"/>
        <v>1</v>
      </c>
      <c r="N392" s="356">
        <f t="shared" si="129"/>
        <v>1</v>
      </c>
      <c r="O392" s="515">
        <v>1980</v>
      </c>
      <c r="P392" s="515">
        <f t="shared" si="143"/>
        <v>1980</v>
      </c>
      <c r="Q392" s="516">
        <f t="shared" si="144"/>
        <v>25740</v>
      </c>
      <c r="R392" s="357">
        <f t="shared" si="132"/>
        <v>20000</v>
      </c>
      <c r="S392" s="357">
        <f t="shared" si="133"/>
        <v>514800</v>
      </c>
      <c r="T392" s="357"/>
    </row>
    <row r="393" spans="1:20">
      <c r="I393" s="489">
        <v>42</v>
      </c>
      <c r="J393" s="355">
        <v>42943</v>
      </c>
      <c r="K393" s="355">
        <v>42943</v>
      </c>
      <c r="L393" s="356" t="s">
        <v>877</v>
      </c>
      <c r="M393" s="356">
        <f t="shared" si="142"/>
        <v>1</v>
      </c>
      <c r="N393" s="356">
        <f t="shared" si="129"/>
        <v>1</v>
      </c>
      <c r="O393" s="515">
        <v>2030</v>
      </c>
      <c r="P393" s="515">
        <f t="shared" si="143"/>
        <v>2030</v>
      </c>
      <c r="Q393" s="516">
        <f t="shared" si="144"/>
        <v>26390</v>
      </c>
      <c r="R393" s="357">
        <f t="shared" si="132"/>
        <v>20000</v>
      </c>
      <c r="S393" s="357">
        <f t="shared" si="133"/>
        <v>527800</v>
      </c>
      <c r="T393" s="357"/>
    </row>
    <row r="394" spans="1:20">
      <c r="I394" s="489">
        <v>43</v>
      </c>
      <c r="J394" s="355">
        <v>42944</v>
      </c>
      <c r="K394" s="355">
        <v>42944</v>
      </c>
      <c r="L394" s="356" t="s">
        <v>878</v>
      </c>
      <c r="M394" s="356">
        <f t="shared" si="142"/>
        <v>1</v>
      </c>
      <c r="N394" s="356">
        <f t="shared" si="129"/>
        <v>1</v>
      </c>
      <c r="O394" s="515">
        <v>2030</v>
      </c>
      <c r="P394" s="515">
        <f t="shared" si="143"/>
        <v>2030</v>
      </c>
      <c r="Q394" s="516">
        <f t="shared" si="144"/>
        <v>26390</v>
      </c>
      <c r="R394" s="357">
        <f t="shared" si="132"/>
        <v>20000</v>
      </c>
      <c r="S394" s="357">
        <f t="shared" si="133"/>
        <v>527800</v>
      </c>
      <c r="T394" s="357"/>
    </row>
    <row r="395" spans="1:20">
      <c r="I395" s="489">
        <v>44</v>
      </c>
      <c r="J395" s="355">
        <v>42944</v>
      </c>
      <c r="K395" s="355">
        <v>42944</v>
      </c>
      <c r="L395" s="356" t="s">
        <v>879</v>
      </c>
      <c r="M395" s="356">
        <f t="shared" si="142"/>
        <v>1</v>
      </c>
      <c r="N395" s="356">
        <f t="shared" si="129"/>
        <v>1</v>
      </c>
      <c r="O395" s="515">
        <v>2030</v>
      </c>
      <c r="P395" s="515">
        <f t="shared" si="143"/>
        <v>2030</v>
      </c>
      <c r="Q395" s="516">
        <f t="shared" si="144"/>
        <v>26390</v>
      </c>
      <c r="R395" s="357">
        <f t="shared" si="132"/>
        <v>20000</v>
      </c>
      <c r="S395" s="357">
        <f t="shared" si="133"/>
        <v>527800</v>
      </c>
      <c r="T395" s="357"/>
    </row>
    <row r="396" spans="1:20">
      <c r="I396" s="489"/>
      <c r="J396" s="355"/>
      <c r="K396" s="355"/>
      <c r="L396" s="356"/>
      <c r="M396" s="356"/>
      <c r="N396" s="356"/>
      <c r="O396" s="507"/>
      <c r="P396" s="507"/>
      <c r="Q396" s="508"/>
      <c r="R396" s="357"/>
      <c r="S396" s="357"/>
      <c r="T396" s="357"/>
    </row>
    <row r="397" spans="1:20">
      <c r="I397" s="414"/>
      <c r="J397" s="414"/>
      <c r="K397" s="414"/>
      <c r="L397" s="414" t="s">
        <v>19</v>
      </c>
      <c r="M397" s="414"/>
      <c r="N397" s="414"/>
      <c r="O397" s="413">
        <f>SUM(O352:O396)</f>
        <v>25380</v>
      </c>
      <c r="P397" s="413">
        <f>SUM(P352:P396)</f>
        <v>24360</v>
      </c>
      <c r="Q397" s="413">
        <f>SUM(Q352:Q396)</f>
        <v>329940</v>
      </c>
      <c r="R397" s="413"/>
      <c r="S397" s="415">
        <f>SUM(S352:S396)</f>
        <v>58770140</v>
      </c>
      <c r="T397" s="415"/>
    </row>
    <row r="398" spans="1:20">
      <c r="L398" s="352" t="s">
        <v>845</v>
      </c>
      <c r="M398" s="860">
        <f>O397-P397</f>
        <v>1020</v>
      </c>
      <c r="N398" s="860"/>
      <c r="O398" s="860"/>
      <c r="P398" s="860"/>
    </row>
    <row r="399" spans="1:20">
      <c r="J399" s="352" t="s">
        <v>29</v>
      </c>
      <c r="K399" s="353"/>
      <c r="L399" s="354"/>
      <c r="M399" s="353"/>
      <c r="N399" s="353"/>
      <c r="O399" s="353"/>
      <c r="P399" s="353"/>
      <c r="Q399" s="353"/>
      <c r="R399" s="353"/>
      <c r="S399" s="353"/>
    </row>
    <row r="400" spans="1:20" ht="20.25" customHeight="1">
      <c r="A400" s="803" t="s">
        <v>0</v>
      </c>
      <c r="B400" s="803" t="s">
        <v>21</v>
      </c>
      <c r="C400" s="855" t="s">
        <v>50</v>
      </c>
      <c r="D400" s="815" t="s">
        <v>51</v>
      </c>
      <c r="E400" s="815" t="s">
        <v>9</v>
      </c>
      <c r="F400" s="815" t="s">
        <v>117</v>
      </c>
      <c r="G400" s="815" t="s">
        <v>52</v>
      </c>
      <c r="I400" s="803" t="s">
        <v>0</v>
      </c>
      <c r="J400" s="803" t="s">
        <v>30</v>
      </c>
      <c r="K400" s="803" t="s">
        <v>31</v>
      </c>
      <c r="L400" s="803" t="s">
        <v>103</v>
      </c>
      <c r="M400" s="803" t="s">
        <v>32</v>
      </c>
      <c r="N400" s="803" t="s">
        <v>573</v>
      </c>
      <c r="O400" s="919" t="s">
        <v>83</v>
      </c>
      <c r="P400" s="920"/>
      <c r="Q400" s="813" t="s">
        <v>33</v>
      </c>
      <c r="R400" s="815" t="s">
        <v>106</v>
      </c>
      <c r="S400" s="815" t="s">
        <v>9</v>
      </c>
      <c r="T400" s="815" t="s">
        <v>82</v>
      </c>
    </row>
    <row r="401" spans="1:20" ht="20.25" customHeight="1">
      <c r="A401" s="803"/>
      <c r="B401" s="803"/>
      <c r="C401" s="855"/>
      <c r="D401" s="815"/>
      <c r="E401" s="815"/>
      <c r="F401" s="815"/>
      <c r="G401" s="815"/>
      <c r="I401" s="803"/>
      <c r="J401" s="803"/>
      <c r="K401" s="803"/>
      <c r="L401" s="803"/>
      <c r="M401" s="803"/>
      <c r="N401" s="803"/>
      <c r="O401" s="533" t="s">
        <v>846</v>
      </c>
      <c r="P401" s="533" t="s">
        <v>847</v>
      </c>
      <c r="Q401" s="814"/>
      <c r="R401" s="815"/>
      <c r="S401" s="815"/>
      <c r="T401" s="815"/>
    </row>
    <row r="402" spans="1:20">
      <c r="A402" s="356">
        <v>1</v>
      </c>
      <c r="B402" s="264" t="s">
        <v>883</v>
      </c>
      <c r="C402" s="510">
        <v>279716.25</v>
      </c>
      <c r="D402" s="511">
        <v>22690</v>
      </c>
      <c r="E402" s="511">
        <f>C402*D402</f>
        <v>6346761712.5</v>
      </c>
      <c r="F402" s="512"/>
      <c r="G402" s="511"/>
      <c r="I402" s="489">
        <v>1</v>
      </c>
      <c r="J402" s="355">
        <v>42941</v>
      </c>
      <c r="K402" s="355"/>
      <c r="L402" s="356" t="s">
        <v>787</v>
      </c>
      <c r="M402" s="356" t="str">
        <f t="shared" ref="M402:M403" si="145">IF(K402&lt;&gt;"",K402-J402+1,"")</f>
        <v/>
      </c>
      <c r="N402" s="356" t="str">
        <f t="shared" ref="N402:N403" si="146">IF(M402&lt;&gt;"",M402,"")</f>
        <v/>
      </c>
      <c r="O402" s="531">
        <v>5</v>
      </c>
      <c r="P402" s="531">
        <f t="shared" ref="P402:P404" si="147">IF(K402&lt;&gt;"",O402,0)</f>
        <v>0</v>
      </c>
      <c r="Q402" s="532">
        <f t="shared" ref="Q402:Q404" si="148">O402*13</f>
        <v>65</v>
      </c>
      <c r="R402" s="357">
        <f t="shared" ref="R402:R404" si="149">IF(M402&lt;&gt;"",20000,0)</f>
        <v>0</v>
      </c>
      <c r="S402" s="357" t="str">
        <f t="shared" ref="S402:S404" si="150">IF(M402&lt;&gt;"",R402*Q402*N402/1000,"")</f>
        <v/>
      </c>
      <c r="T402" s="357"/>
    </row>
    <row r="403" spans="1:20">
      <c r="A403" s="356">
        <v>2</v>
      </c>
      <c r="B403" s="253" t="s">
        <v>123</v>
      </c>
      <c r="C403" s="309"/>
      <c r="D403" s="255"/>
      <c r="E403" s="255"/>
      <c r="F403" s="254">
        <v>2503600</v>
      </c>
      <c r="G403" s="255"/>
      <c r="I403" s="489">
        <v>2</v>
      </c>
      <c r="J403" s="355">
        <v>42942</v>
      </c>
      <c r="K403" s="355"/>
      <c r="L403" s="356" t="s">
        <v>87</v>
      </c>
      <c r="M403" s="356" t="str">
        <f t="shared" si="145"/>
        <v/>
      </c>
      <c r="N403" s="356" t="str">
        <f t="shared" si="146"/>
        <v/>
      </c>
      <c r="O403" s="531">
        <v>575</v>
      </c>
      <c r="P403" s="531">
        <f t="shared" si="147"/>
        <v>0</v>
      </c>
      <c r="Q403" s="532">
        <f t="shared" si="148"/>
        <v>7475</v>
      </c>
      <c r="R403" s="357">
        <f t="shared" si="149"/>
        <v>0</v>
      </c>
      <c r="S403" s="357" t="str">
        <f t="shared" si="150"/>
        <v/>
      </c>
      <c r="T403" s="357"/>
    </row>
    <row r="404" spans="1:20">
      <c r="A404" s="489">
        <v>3</v>
      </c>
      <c r="B404" s="256" t="s">
        <v>547</v>
      </c>
      <c r="C404" s="263"/>
      <c r="D404" s="258"/>
      <c r="E404" s="258"/>
      <c r="F404" s="254">
        <f>G404*0.000435</f>
        <v>1647329.7749999999</v>
      </c>
      <c r="G404" s="255">
        <v>3786965000</v>
      </c>
      <c r="I404" s="489">
        <v>3</v>
      </c>
      <c r="J404" s="355">
        <v>42942</v>
      </c>
      <c r="K404" s="355"/>
      <c r="L404" s="356" t="s">
        <v>875</v>
      </c>
      <c r="M404" s="356" t="str">
        <f t="shared" ref="M404:M407" si="151">IF(K404&lt;&gt;"",K404-J404+1,"")</f>
        <v/>
      </c>
      <c r="N404" s="356" t="str">
        <f t="shared" ref="N404:N407" si="152">IF(M404&lt;&gt;"",M404,"")</f>
        <v/>
      </c>
      <c r="O404" s="531">
        <v>440</v>
      </c>
      <c r="P404" s="531">
        <f t="shared" si="147"/>
        <v>0</v>
      </c>
      <c r="Q404" s="532">
        <f t="shared" si="148"/>
        <v>5720</v>
      </c>
      <c r="R404" s="357">
        <f t="shared" si="149"/>
        <v>0</v>
      </c>
      <c r="S404" s="357" t="str">
        <f t="shared" si="150"/>
        <v/>
      </c>
      <c r="T404" s="357"/>
    </row>
    <row r="405" spans="1:20">
      <c r="A405" s="356">
        <v>4</v>
      </c>
      <c r="B405" s="256" t="s">
        <v>152</v>
      </c>
      <c r="C405" s="310"/>
      <c r="D405" s="255"/>
      <c r="E405" s="255"/>
      <c r="F405" s="254">
        <f>G405*0.00044</f>
        <v>1123991</v>
      </c>
      <c r="G405" s="255">
        <v>2554525000</v>
      </c>
      <c r="I405" s="489"/>
      <c r="J405" s="355"/>
      <c r="K405" s="355"/>
      <c r="L405" s="356"/>
      <c r="M405" s="356" t="str">
        <f t="shared" si="151"/>
        <v/>
      </c>
      <c r="N405" s="356" t="str">
        <f t="shared" si="152"/>
        <v/>
      </c>
      <c r="O405" s="531"/>
      <c r="P405" s="531">
        <f t="shared" ref="P405:P407" si="153">IF(K405&lt;&gt;"",O405,0)</f>
        <v>0</v>
      </c>
      <c r="Q405" s="532">
        <f t="shared" ref="Q405:Q407" si="154">O405*13</f>
        <v>0</v>
      </c>
      <c r="R405" s="357">
        <f t="shared" ref="R405:R407" si="155">IF(M405&lt;&gt;"",20000,0)</f>
        <v>0</v>
      </c>
      <c r="S405" s="357" t="str">
        <f t="shared" ref="S405:S407" si="156">IF(M405&lt;&gt;"",R405*Q405*N405/1000,"")</f>
        <v/>
      </c>
      <c r="T405" s="357"/>
    </row>
    <row r="406" spans="1:20">
      <c r="A406" s="489"/>
      <c r="B406" s="256"/>
      <c r="C406" s="310"/>
      <c r="D406" s="255"/>
      <c r="E406" s="255"/>
      <c r="F406" s="254"/>
      <c r="G406" s="255"/>
      <c r="I406" s="489"/>
      <c r="J406" s="355"/>
      <c r="K406" s="355"/>
      <c r="L406" s="356"/>
      <c r="M406" s="356" t="str">
        <f t="shared" si="151"/>
        <v/>
      </c>
      <c r="N406" s="356" t="str">
        <f t="shared" si="152"/>
        <v/>
      </c>
      <c r="O406" s="531"/>
      <c r="P406" s="531">
        <f t="shared" si="153"/>
        <v>0</v>
      </c>
      <c r="Q406" s="532">
        <f t="shared" si="154"/>
        <v>0</v>
      </c>
      <c r="R406" s="357">
        <f t="shared" si="155"/>
        <v>0</v>
      </c>
      <c r="S406" s="357" t="str">
        <f t="shared" si="156"/>
        <v/>
      </c>
      <c r="T406" s="357"/>
    </row>
    <row r="407" spans="1:20">
      <c r="A407" s="356"/>
      <c r="B407" s="256"/>
      <c r="C407" s="310"/>
      <c r="D407" s="255"/>
      <c r="E407" s="255"/>
      <c r="F407" s="254"/>
      <c r="G407" s="255"/>
      <c r="I407" s="489"/>
      <c r="J407" s="355"/>
      <c r="K407" s="355"/>
      <c r="L407" s="356"/>
      <c r="M407" s="356" t="str">
        <f t="shared" si="151"/>
        <v/>
      </c>
      <c r="N407" s="356" t="str">
        <f t="shared" si="152"/>
        <v/>
      </c>
      <c r="O407" s="531"/>
      <c r="P407" s="531">
        <f t="shared" si="153"/>
        <v>0</v>
      </c>
      <c r="Q407" s="532">
        <f t="shared" si="154"/>
        <v>0</v>
      </c>
      <c r="R407" s="357">
        <f t="shared" si="155"/>
        <v>0</v>
      </c>
      <c r="S407" s="357" t="str">
        <f t="shared" si="156"/>
        <v/>
      </c>
      <c r="T407" s="357"/>
    </row>
    <row r="408" spans="1:20">
      <c r="A408" s="329"/>
      <c r="B408" s="329"/>
      <c r="C408" s="338"/>
      <c r="D408" s="258"/>
      <c r="E408" s="258"/>
      <c r="F408" s="339"/>
      <c r="G408" s="258"/>
      <c r="I408" s="489"/>
      <c r="J408" s="355"/>
      <c r="K408" s="355"/>
      <c r="L408" s="356"/>
      <c r="M408" s="356"/>
      <c r="N408" s="356"/>
      <c r="O408" s="531"/>
      <c r="P408" s="531"/>
      <c r="Q408" s="532"/>
      <c r="R408" s="357"/>
      <c r="S408" s="357"/>
      <c r="T408" s="357"/>
    </row>
    <row r="409" spans="1:20">
      <c r="A409" s="376"/>
      <c r="B409" s="376" t="s">
        <v>57</v>
      </c>
      <c r="C409" s="377"/>
      <c r="D409" s="378"/>
      <c r="E409" s="378">
        <f>SUM(E402:E408)</f>
        <v>6346761712.5</v>
      </c>
      <c r="F409" s="378">
        <f>SUM(F402:F408)</f>
        <v>5274920.7750000004</v>
      </c>
      <c r="G409" s="378">
        <f>SUM(G402:G408)</f>
        <v>6341490000</v>
      </c>
      <c r="I409" s="414"/>
      <c r="J409" s="414"/>
      <c r="K409" s="414"/>
      <c r="L409" s="414" t="s">
        <v>19</v>
      </c>
      <c r="M409" s="414"/>
      <c r="N409" s="414"/>
      <c r="O409" s="413">
        <f>SUM(O402:O408)</f>
        <v>1020</v>
      </c>
      <c r="P409" s="413">
        <f>SUM(P402:P408)</f>
        <v>0</v>
      </c>
      <c r="Q409" s="413">
        <f>SUM(Q402:Q408)</f>
        <v>13260</v>
      </c>
      <c r="R409" s="413"/>
      <c r="S409" s="415">
        <f>SUM(S402:S408)</f>
        <v>0</v>
      </c>
      <c r="T409" s="415"/>
    </row>
    <row r="410" spans="1:20">
      <c r="L410" s="352" t="s">
        <v>845</v>
      </c>
      <c r="M410" s="860">
        <f>O409-P409</f>
        <v>1020</v>
      </c>
      <c r="N410" s="860"/>
      <c r="O410" s="860"/>
      <c r="P410" s="860"/>
    </row>
    <row r="411" spans="1:20" ht="15.75">
      <c r="B411" s="162" t="s">
        <v>749</v>
      </c>
    </row>
    <row r="412" spans="1:20">
      <c r="G412" s="342">
        <f>E409-F409-G409</f>
        <v>-3208.2749996185303</v>
      </c>
    </row>
    <row r="416" spans="1:20">
      <c r="A416" s="803" t="s">
        <v>0</v>
      </c>
      <c r="B416" s="803" t="s">
        <v>21</v>
      </c>
      <c r="C416" s="855" t="s">
        <v>50</v>
      </c>
      <c r="D416" s="815" t="s">
        <v>51</v>
      </c>
      <c r="E416" s="815" t="s">
        <v>9</v>
      </c>
      <c r="F416" s="815" t="s">
        <v>117</v>
      </c>
      <c r="G416" s="815" t="s">
        <v>52</v>
      </c>
    </row>
    <row r="417" spans="1:7">
      <c r="A417" s="803"/>
      <c r="B417" s="803"/>
      <c r="C417" s="855"/>
      <c r="D417" s="815"/>
      <c r="E417" s="815"/>
      <c r="F417" s="815"/>
      <c r="G417" s="815"/>
    </row>
    <row r="418" spans="1:7">
      <c r="A418" s="356">
        <v>1</v>
      </c>
      <c r="B418" s="264" t="s">
        <v>883</v>
      </c>
      <c r="C418" s="510">
        <v>279716.36</v>
      </c>
      <c r="D418" s="511">
        <v>22690</v>
      </c>
      <c r="E418" s="511">
        <f>C418*D418</f>
        <v>6346764208.3999996</v>
      </c>
      <c r="F418" s="512"/>
      <c r="G418" s="511"/>
    </row>
    <row r="419" spans="1:7">
      <c r="A419" s="356">
        <v>2</v>
      </c>
      <c r="B419" s="253" t="s">
        <v>123</v>
      </c>
      <c r="C419" s="309"/>
      <c r="D419" s="255"/>
      <c r="E419" s="255"/>
      <c r="F419" s="254">
        <v>2504150</v>
      </c>
      <c r="G419" s="255"/>
    </row>
    <row r="420" spans="1:7">
      <c r="A420" s="489">
        <v>3</v>
      </c>
      <c r="B420" s="256" t="s">
        <v>395</v>
      </c>
      <c r="C420" s="263"/>
      <c r="D420" s="258"/>
      <c r="E420" s="258"/>
      <c r="F420" s="254">
        <v>1100000</v>
      </c>
      <c r="G420" s="255">
        <v>1221718000</v>
      </c>
    </row>
    <row r="421" spans="1:7">
      <c r="A421" s="356">
        <v>4</v>
      </c>
      <c r="B421" s="256" t="s">
        <v>547</v>
      </c>
      <c r="C421" s="310"/>
      <c r="D421" s="255"/>
      <c r="E421" s="255"/>
      <c r="F421" s="254">
        <v>1100000</v>
      </c>
      <c r="G421" s="255">
        <v>2414685000</v>
      </c>
    </row>
    <row r="422" spans="1:7">
      <c r="A422" s="489">
        <v>5</v>
      </c>
      <c r="B422" s="256" t="s">
        <v>56</v>
      </c>
      <c r="C422" s="310"/>
      <c r="D422" s="255"/>
      <c r="E422" s="255"/>
      <c r="F422" s="254">
        <v>1100000</v>
      </c>
      <c r="G422" s="255">
        <v>2704557058.3999996</v>
      </c>
    </row>
    <row r="423" spans="1:7">
      <c r="A423" s="356"/>
      <c r="B423" s="256"/>
      <c r="C423" s="310"/>
      <c r="D423" s="255"/>
      <c r="E423" s="255"/>
      <c r="F423" s="254"/>
      <c r="G423" s="255"/>
    </row>
    <row r="424" spans="1:7">
      <c r="A424" s="329"/>
      <c r="B424" s="329"/>
      <c r="C424" s="338"/>
      <c r="D424" s="258"/>
      <c r="E424" s="258"/>
      <c r="F424" s="339"/>
      <c r="G424" s="258"/>
    </row>
    <row r="425" spans="1:7">
      <c r="A425" s="376"/>
      <c r="B425" s="376" t="s">
        <v>57</v>
      </c>
      <c r="C425" s="377"/>
      <c r="D425" s="378"/>
      <c r="E425" s="378">
        <f>SUM(E418:E424)</f>
        <v>6346764208.3999996</v>
      </c>
      <c r="F425" s="378">
        <f>SUM(F418:F424)</f>
        <v>5804150</v>
      </c>
      <c r="G425" s="378">
        <f>SUM(G418:G424)</f>
        <v>6340960058.3999996</v>
      </c>
    </row>
    <row r="427" spans="1:7" ht="15.75">
      <c r="B427" s="162" t="s">
        <v>749</v>
      </c>
    </row>
    <row r="428" spans="1:7">
      <c r="G428" s="342">
        <f>E425-F425-G425</f>
        <v>0</v>
      </c>
    </row>
    <row r="431" spans="1:7">
      <c r="B431" s="534" t="s">
        <v>884</v>
      </c>
      <c r="C431" s="535"/>
      <c r="D431" s="536"/>
      <c r="E431" s="537">
        <v>2474069800</v>
      </c>
      <c r="F431" s="306"/>
    </row>
    <row r="432" spans="1:7">
      <c r="B432" s="534" t="s">
        <v>885</v>
      </c>
      <c r="C432" s="535"/>
      <c r="D432" s="536"/>
      <c r="E432" s="536">
        <f>E431-G421</f>
        <v>59384800</v>
      </c>
    </row>
    <row r="434" spans="1:7">
      <c r="A434" s="803" t="s">
        <v>0</v>
      </c>
      <c r="B434" s="803" t="s">
        <v>21</v>
      </c>
      <c r="C434" s="855" t="s">
        <v>50</v>
      </c>
      <c r="D434" s="815" t="s">
        <v>51</v>
      </c>
      <c r="E434" s="815" t="s">
        <v>9</v>
      </c>
      <c r="F434" s="815" t="s">
        <v>117</v>
      </c>
      <c r="G434" s="815" t="s">
        <v>52</v>
      </c>
    </row>
    <row r="435" spans="1:7">
      <c r="A435" s="803"/>
      <c r="B435" s="803"/>
      <c r="C435" s="855"/>
      <c r="D435" s="815"/>
      <c r="E435" s="815"/>
      <c r="F435" s="815"/>
      <c r="G435" s="815"/>
    </row>
    <row r="436" spans="1:7">
      <c r="A436" s="356">
        <v>1</v>
      </c>
      <c r="B436" s="264" t="s">
        <v>886</v>
      </c>
      <c r="C436" s="510">
        <v>279716.36</v>
      </c>
      <c r="D436" s="511">
        <v>22690</v>
      </c>
      <c r="E436" s="511">
        <f>C436*D436</f>
        <v>6346764208.3999996</v>
      </c>
      <c r="F436" s="512"/>
      <c r="G436" s="511"/>
    </row>
    <row r="437" spans="1:7">
      <c r="A437" s="356">
        <v>2</v>
      </c>
      <c r="B437" s="253" t="s">
        <v>123</v>
      </c>
      <c r="C437" s="309"/>
      <c r="D437" s="255"/>
      <c r="E437" s="255"/>
      <c r="F437" s="254">
        <v>2504150</v>
      </c>
      <c r="G437" s="255"/>
    </row>
    <row r="438" spans="1:7">
      <c r="A438" s="489">
        <v>3</v>
      </c>
      <c r="B438" s="256" t="s">
        <v>395</v>
      </c>
      <c r="C438" s="263"/>
      <c r="D438" s="258"/>
      <c r="E438" s="258"/>
      <c r="F438" s="254">
        <v>1100000</v>
      </c>
      <c r="G438" s="255">
        <v>1221718000</v>
      </c>
    </row>
    <row r="439" spans="1:7">
      <c r="A439" s="356">
        <v>4</v>
      </c>
      <c r="B439" s="256" t="s">
        <v>547</v>
      </c>
      <c r="C439" s="310"/>
      <c r="D439" s="255"/>
      <c r="E439" s="255"/>
      <c r="F439" s="254">
        <v>1100000</v>
      </c>
      <c r="G439" s="255">
        <v>2474069800</v>
      </c>
    </row>
    <row r="440" spans="1:7">
      <c r="A440" s="489">
        <v>5</v>
      </c>
      <c r="B440" s="256" t="s">
        <v>56</v>
      </c>
      <c r="C440" s="310"/>
      <c r="D440" s="255"/>
      <c r="E440" s="255"/>
      <c r="F440" s="254">
        <v>1100000</v>
      </c>
      <c r="G440" s="255">
        <v>2645173000</v>
      </c>
    </row>
    <row r="441" spans="1:7">
      <c r="A441" s="356"/>
      <c r="B441" s="256"/>
      <c r="C441" s="310"/>
      <c r="D441" s="255"/>
      <c r="E441" s="255"/>
      <c r="F441" s="254"/>
      <c r="G441" s="255"/>
    </row>
    <row r="442" spans="1:7">
      <c r="A442" s="329"/>
      <c r="B442" s="329"/>
      <c r="C442" s="338"/>
      <c r="D442" s="258"/>
      <c r="E442" s="258"/>
      <c r="F442" s="339"/>
      <c r="G442" s="258"/>
    </row>
    <row r="443" spans="1:7">
      <c r="A443" s="376"/>
      <c r="B443" s="376" t="s">
        <v>57</v>
      </c>
      <c r="C443" s="377"/>
      <c r="D443" s="378"/>
      <c r="E443" s="378">
        <f>SUM(E436:E442)</f>
        <v>6346764208.3999996</v>
      </c>
      <c r="F443" s="378">
        <f>SUM(F436:F442)</f>
        <v>5804150</v>
      </c>
      <c r="G443" s="378">
        <f>SUM(G436:G442)</f>
        <v>6340960800</v>
      </c>
    </row>
    <row r="445" spans="1:7" ht="15.75">
      <c r="B445" s="162" t="s">
        <v>749</v>
      </c>
    </row>
    <row r="446" spans="1:7">
      <c r="G446" s="342">
        <f>E443-F443-G443</f>
        <v>-741.60000038146973</v>
      </c>
    </row>
    <row r="448" spans="1:7">
      <c r="A448" s="803" t="s">
        <v>0</v>
      </c>
      <c r="B448" s="803" t="s">
        <v>21</v>
      </c>
      <c r="C448" s="855" t="s">
        <v>50</v>
      </c>
      <c r="D448" s="815" t="s">
        <v>51</v>
      </c>
      <c r="E448" s="815" t="s">
        <v>9</v>
      </c>
      <c r="F448" s="815" t="s">
        <v>117</v>
      </c>
      <c r="G448" s="815" t="s">
        <v>52</v>
      </c>
    </row>
    <row r="449" spans="1:7">
      <c r="A449" s="803"/>
      <c r="B449" s="803"/>
      <c r="C449" s="855"/>
      <c r="D449" s="815"/>
      <c r="E449" s="815"/>
      <c r="F449" s="815"/>
      <c r="G449" s="815"/>
    </row>
    <row r="450" spans="1:7">
      <c r="A450" s="356">
        <v>1</v>
      </c>
      <c r="B450" s="264" t="s">
        <v>887</v>
      </c>
      <c r="C450" s="510">
        <v>435435</v>
      </c>
      <c r="D450" s="511">
        <v>22690</v>
      </c>
      <c r="E450" s="511">
        <f>C450*D450</f>
        <v>9880020150</v>
      </c>
      <c r="F450" s="512"/>
      <c r="G450" s="511"/>
    </row>
    <row r="451" spans="1:7">
      <c r="A451" s="356">
        <v>2</v>
      </c>
      <c r="B451" s="253" t="s">
        <v>123</v>
      </c>
      <c r="C451" s="309">
        <v>220</v>
      </c>
      <c r="D451" s="255"/>
      <c r="E451" s="255"/>
      <c r="F451" s="254">
        <f>C451*D450</f>
        <v>4991800</v>
      </c>
      <c r="G451" s="255"/>
    </row>
    <row r="452" spans="1:7">
      <c r="A452" s="489">
        <v>3</v>
      </c>
      <c r="B452" s="256" t="s">
        <v>397</v>
      </c>
      <c r="C452" s="263"/>
      <c r="D452" s="258"/>
      <c r="E452" s="258"/>
      <c r="F452" s="254">
        <v>1100000</v>
      </c>
      <c r="G452" s="255">
        <v>2328910000</v>
      </c>
    </row>
    <row r="453" spans="1:7">
      <c r="A453" s="489">
        <v>4</v>
      </c>
      <c r="B453" s="256" t="s">
        <v>888</v>
      </c>
      <c r="C453" s="310"/>
      <c r="D453" s="255"/>
      <c r="E453" s="255"/>
      <c r="F453" s="254">
        <v>1100000</v>
      </c>
      <c r="G453" s="255">
        <v>2000000000</v>
      </c>
    </row>
    <row r="454" spans="1:7">
      <c r="A454" s="489">
        <v>5</v>
      </c>
      <c r="B454" s="256" t="s">
        <v>55</v>
      </c>
      <c r="C454" s="310"/>
      <c r="D454" s="255"/>
      <c r="E454" s="255"/>
      <c r="F454" s="254">
        <v>1100000</v>
      </c>
      <c r="G454" s="255">
        <v>2000000000</v>
      </c>
    </row>
    <row r="455" spans="1:7">
      <c r="A455" s="489">
        <v>6</v>
      </c>
      <c r="B455" s="256" t="s">
        <v>56</v>
      </c>
      <c r="C455" s="310"/>
      <c r="D455" s="255"/>
      <c r="E455" s="255"/>
      <c r="F455" s="254">
        <v>1100000</v>
      </c>
      <c r="G455" s="255">
        <v>3541720000</v>
      </c>
    </row>
    <row r="456" spans="1:7">
      <c r="A456" s="329"/>
      <c r="B456" s="329"/>
      <c r="C456" s="338"/>
      <c r="D456" s="258"/>
      <c r="E456" s="258"/>
      <c r="F456" s="339"/>
      <c r="G456" s="258"/>
    </row>
    <row r="457" spans="1:7">
      <c r="A457" s="376"/>
      <c r="B457" s="376" t="s">
        <v>57</v>
      </c>
      <c r="C457" s="262">
        <f>SUM(C450:C456)</f>
        <v>435655</v>
      </c>
      <c r="D457" s="378"/>
      <c r="E457" s="378">
        <f>SUM(E450:E456)</f>
        <v>9880020150</v>
      </c>
      <c r="F457" s="378">
        <f>SUM(F450:F456)</f>
        <v>9391800</v>
      </c>
      <c r="G457" s="378">
        <f>SUM(G450:G456)</f>
        <v>9870630000</v>
      </c>
    </row>
    <row r="459" spans="1:7" ht="15.75">
      <c r="B459" s="162" t="s">
        <v>749</v>
      </c>
    </row>
    <row r="460" spans="1:7">
      <c r="G460" s="342">
        <f>E457-F457-G457</f>
        <v>-1650</v>
      </c>
    </row>
    <row r="463" spans="1:7">
      <c r="A463" s="803" t="s">
        <v>0</v>
      </c>
      <c r="B463" s="803" t="s">
        <v>21</v>
      </c>
      <c r="C463" s="855" t="s">
        <v>50</v>
      </c>
      <c r="D463" s="815" t="s">
        <v>51</v>
      </c>
      <c r="E463" s="815" t="s">
        <v>9</v>
      </c>
      <c r="F463" s="815" t="s">
        <v>117</v>
      </c>
      <c r="G463" s="815" t="s">
        <v>52</v>
      </c>
    </row>
    <row r="464" spans="1:7">
      <c r="A464" s="803"/>
      <c r="B464" s="803"/>
      <c r="C464" s="855"/>
      <c r="D464" s="815"/>
      <c r="E464" s="815"/>
      <c r="F464" s="815"/>
      <c r="G464" s="815"/>
    </row>
    <row r="465" spans="1:7">
      <c r="A465" s="356">
        <v>1</v>
      </c>
      <c r="B465" s="264" t="s">
        <v>889</v>
      </c>
      <c r="C465" s="510">
        <v>427518</v>
      </c>
      <c r="D465" s="511">
        <v>22690</v>
      </c>
      <c r="E465" s="511">
        <f>C465*D465</f>
        <v>9700383420</v>
      </c>
      <c r="F465" s="512"/>
      <c r="G465" s="511"/>
    </row>
    <row r="466" spans="1:7">
      <c r="A466" s="356">
        <v>2</v>
      </c>
      <c r="B466" s="253" t="s">
        <v>123</v>
      </c>
      <c r="C466" s="309">
        <v>110</v>
      </c>
      <c r="D466" s="255"/>
      <c r="E466" s="255"/>
      <c r="F466" s="254">
        <f>C466*D465</f>
        <v>2495900</v>
      </c>
      <c r="G466" s="255"/>
    </row>
    <row r="467" spans="1:7">
      <c r="A467" s="356">
        <v>3</v>
      </c>
      <c r="B467" s="253" t="s">
        <v>892</v>
      </c>
      <c r="C467" s="309"/>
      <c r="D467" s="255"/>
      <c r="E467" s="255"/>
      <c r="F467" s="254">
        <f>53000000*4</f>
        <v>212000000</v>
      </c>
      <c r="G467" s="255"/>
    </row>
    <row r="468" spans="1:7">
      <c r="A468" s="356">
        <v>4</v>
      </c>
      <c r="B468" s="256" t="s">
        <v>547</v>
      </c>
      <c r="C468" s="263"/>
      <c r="D468" s="258"/>
      <c r="E468" s="258"/>
      <c r="F468" s="254">
        <v>1100000</v>
      </c>
      <c r="G468" s="255">
        <v>2531965000</v>
      </c>
    </row>
    <row r="469" spans="1:7">
      <c r="A469" s="356">
        <v>5</v>
      </c>
      <c r="B469" s="256" t="s">
        <v>394</v>
      </c>
      <c r="C469" s="310"/>
      <c r="D469" s="255"/>
      <c r="E469" s="255"/>
      <c r="F469" s="254">
        <v>1100000</v>
      </c>
      <c r="G469" s="255">
        <v>1290562000</v>
      </c>
    </row>
    <row r="470" spans="1:7">
      <c r="A470" s="356">
        <v>6</v>
      </c>
      <c r="B470" s="256" t="s">
        <v>890</v>
      </c>
      <c r="C470" s="310"/>
      <c r="D470" s="255"/>
      <c r="E470" s="255"/>
      <c r="F470" s="254">
        <v>1100000</v>
      </c>
      <c r="G470" s="255">
        <v>1307104000</v>
      </c>
    </row>
    <row r="471" spans="1:7">
      <c r="A471" s="356">
        <v>7</v>
      </c>
      <c r="B471" s="256" t="s">
        <v>400</v>
      </c>
      <c r="C471" s="310"/>
      <c r="D471" s="255"/>
      <c r="E471" s="255"/>
      <c r="F471" s="254">
        <v>1100000</v>
      </c>
      <c r="G471" s="255">
        <v>1326838000</v>
      </c>
    </row>
    <row r="472" spans="1:7">
      <c r="A472" s="356">
        <v>8</v>
      </c>
      <c r="B472" s="256" t="s">
        <v>891</v>
      </c>
      <c r="C472" s="310"/>
      <c r="D472" s="255"/>
      <c r="E472" s="255"/>
      <c r="F472" s="254">
        <v>1100000</v>
      </c>
      <c r="G472" s="255">
        <v>1280539000</v>
      </c>
    </row>
    <row r="473" spans="1:7">
      <c r="A473" s="356">
        <v>9</v>
      </c>
      <c r="B473" s="256" t="s">
        <v>56</v>
      </c>
      <c r="C473" s="310"/>
      <c r="D473" s="255"/>
      <c r="E473" s="255"/>
      <c r="F473" s="254">
        <v>1100000</v>
      </c>
      <c r="G473" s="255">
        <v>1742279000</v>
      </c>
    </row>
    <row r="474" spans="1:7">
      <c r="A474" s="329"/>
      <c r="B474" s="329"/>
      <c r="C474" s="338"/>
      <c r="D474" s="258"/>
      <c r="E474" s="258"/>
      <c r="F474" s="339"/>
      <c r="G474" s="258"/>
    </row>
    <row r="475" spans="1:7">
      <c r="A475" s="376"/>
      <c r="B475" s="376" t="s">
        <v>57</v>
      </c>
      <c r="C475" s="262">
        <f>SUM(C465:C474)</f>
        <v>427628</v>
      </c>
      <c r="D475" s="378"/>
      <c r="E475" s="378">
        <f>SUM(E465:E474)</f>
        <v>9700383420</v>
      </c>
      <c r="F475" s="378">
        <f>SUM(F465:F474)</f>
        <v>221095900</v>
      </c>
      <c r="G475" s="378">
        <f>SUM(G465:G474)</f>
        <v>9479287000</v>
      </c>
    </row>
    <row r="477" spans="1:7" ht="15.75">
      <c r="B477" s="162" t="s">
        <v>749</v>
      </c>
    </row>
    <row r="478" spans="1:7">
      <c r="G478" s="342">
        <f>E475-F475-G475</f>
        <v>520</v>
      </c>
    </row>
    <row r="480" spans="1:7">
      <c r="A480" s="803" t="s">
        <v>0</v>
      </c>
      <c r="B480" s="803" t="s">
        <v>21</v>
      </c>
      <c r="C480" s="855" t="s">
        <v>50</v>
      </c>
      <c r="D480" s="815" t="s">
        <v>51</v>
      </c>
      <c r="E480" s="815" t="s">
        <v>9</v>
      </c>
      <c r="F480" s="815" t="s">
        <v>117</v>
      </c>
      <c r="G480" s="815" t="s">
        <v>52</v>
      </c>
    </row>
    <row r="481" spans="1:7">
      <c r="A481" s="803"/>
      <c r="B481" s="803"/>
      <c r="C481" s="855"/>
      <c r="D481" s="815"/>
      <c r="E481" s="815"/>
      <c r="F481" s="815"/>
      <c r="G481" s="815"/>
    </row>
    <row r="482" spans="1:7">
      <c r="A482" s="356">
        <v>1</v>
      </c>
      <c r="B482" s="264" t="s">
        <v>897</v>
      </c>
      <c r="C482" s="510">
        <v>443352</v>
      </c>
      <c r="D482" s="511">
        <v>22690</v>
      </c>
      <c r="E482" s="511">
        <f>C482*D482</f>
        <v>10059656880</v>
      </c>
      <c r="F482" s="512"/>
      <c r="G482" s="511"/>
    </row>
    <row r="483" spans="1:7">
      <c r="A483" s="356">
        <v>2</v>
      </c>
      <c r="B483" s="253" t="s">
        <v>123</v>
      </c>
      <c r="C483" s="309">
        <v>220</v>
      </c>
      <c r="D483" s="255"/>
      <c r="E483" s="255"/>
      <c r="F483" s="254">
        <f>C483*D482</f>
        <v>4991800</v>
      </c>
      <c r="G483" s="255"/>
    </row>
    <row r="484" spans="1:7">
      <c r="A484" s="356">
        <v>3</v>
      </c>
      <c r="B484" s="253" t="s">
        <v>896</v>
      </c>
      <c r="C484" s="309"/>
      <c r="D484" s="255"/>
      <c r="E484" s="255"/>
      <c r="F484" s="254">
        <f>53000000*2</f>
        <v>106000000</v>
      </c>
      <c r="G484" s="255"/>
    </row>
    <row r="485" spans="1:7">
      <c r="A485" s="356">
        <v>4</v>
      </c>
      <c r="B485" s="256" t="s">
        <v>891</v>
      </c>
      <c r="C485" s="309"/>
      <c r="D485" s="255"/>
      <c r="E485" s="255"/>
      <c r="F485" s="254">
        <f>G485*0.055%</f>
        <v>682181.5</v>
      </c>
      <c r="G485" s="255">
        <v>1240330000</v>
      </c>
    </row>
    <row r="486" spans="1:7">
      <c r="A486" s="356">
        <v>5</v>
      </c>
      <c r="B486" s="256" t="s">
        <v>547</v>
      </c>
      <c r="C486" s="263"/>
      <c r="D486" s="258"/>
      <c r="E486" s="258"/>
      <c r="F486" s="254">
        <f t="shared" ref="F486:F487" si="157">G486*0.055%</f>
        <v>1354892</v>
      </c>
      <c r="G486" s="255">
        <v>2463440000</v>
      </c>
    </row>
    <row r="487" spans="1:7">
      <c r="A487" s="356">
        <v>6</v>
      </c>
      <c r="B487" s="256" t="s">
        <v>394</v>
      </c>
      <c r="C487" s="310"/>
      <c r="D487" s="255"/>
      <c r="E487" s="255"/>
      <c r="F487" s="254">
        <f t="shared" si="157"/>
        <v>3431684.3000000003</v>
      </c>
      <c r="G487" s="255">
        <v>6239426000</v>
      </c>
    </row>
    <row r="488" spans="1:7">
      <c r="A488" s="329"/>
      <c r="B488" s="329"/>
      <c r="C488" s="338"/>
      <c r="D488" s="258"/>
      <c r="E488" s="258"/>
      <c r="F488" s="339"/>
      <c r="G488" s="258"/>
    </row>
    <row r="489" spans="1:7">
      <c r="A489" s="376"/>
      <c r="B489" s="376" t="s">
        <v>57</v>
      </c>
      <c r="C489" s="262">
        <f>SUM(C482:C488)</f>
        <v>443572</v>
      </c>
      <c r="D489" s="378"/>
      <c r="E489" s="378">
        <f>SUM(E482:E488)</f>
        <v>10059656880</v>
      </c>
      <c r="F489" s="378">
        <f>SUM(F482:F488)</f>
        <v>116460557.8</v>
      </c>
      <c r="G489" s="378">
        <f>SUM(G482:G488)</f>
        <v>9943196000</v>
      </c>
    </row>
    <row r="491" spans="1:7" ht="15.75">
      <c r="B491" s="162" t="s">
        <v>749</v>
      </c>
    </row>
    <row r="492" spans="1:7">
      <c r="G492" s="342">
        <f>E489-F489-G489</f>
        <v>322.20000076293945</v>
      </c>
    </row>
    <row r="496" spans="1:7" ht="15" customHeight="1">
      <c r="A496" s="803" t="s">
        <v>0</v>
      </c>
      <c r="B496" s="803" t="s">
        <v>21</v>
      </c>
      <c r="C496" s="855" t="s">
        <v>50</v>
      </c>
      <c r="D496" s="815" t="s">
        <v>51</v>
      </c>
      <c r="E496" s="815" t="s">
        <v>9</v>
      </c>
      <c r="F496" s="815" t="s">
        <v>117</v>
      </c>
      <c r="G496" s="815" t="s">
        <v>52</v>
      </c>
    </row>
    <row r="497" spans="1:7">
      <c r="A497" s="803"/>
      <c r="B497" s="803"/>
      <c r="C497" s="855"/>
      <c r="D497" s="815"/>
      <c r="E497" s="815"/>
      <c r="F497" s="815"/>
      <c r="G497" s="815"/>
    </row>
    <row r="498" spans="1:7">
      <c r="A498" s="356">
        <v>1</v>
      </c>
      <c r="B498" s="264" t="s">
        <v>901</v>
      </c>
      <c r="C498" s="510">
        <v>443352</v>
      </c>
      <c r="D498" s="511">
        <v>22690</v>
      </c>
      <c r="E498" s="511">
        <f>C498*D498</f>
        <v>10059656880</v>
      </c>
      <c r="F498" s="512"/>
      <c r="G498" s="511"/>
    </row>
    <row r="499" spans="1:7">
      <c r="A499" s="356">
        <v>2</v>
      </c>
      <c r="B499" s="253" t="s">
        <v>123</v>
      </c>
      <c r="C499" s="309">
        <v>220</v>
      </c>
      <c r="D499" s="255"/>
      <c r="E499" s="255"/>
      <c r="F499" s="254">
        <f>C499*D498</f>
        <v>4991800</v>
      </c>
      <c r="G499" s="255"/>
    </row>
    <row r="500" spans="1:7">
      <c r="A500" s="356">
        <v>3</v>
      </c>
      <c r="B500" s="253" t="s">
        <v>902</v>
      </c>
      <c r="C500" s="309"/>
      <c r="D500" s="255"/>
      <c r="E500" s="255"/>
      <c r="F500" s="254">
        <f>53000000*12</f>
        <v>636000000</v>
      </c>
      <c r="G500" s="255"/>
    </row>
    <row r="501" spans="1:7">
      <c r="A501" s="356">
        <v>4</v>
      </c>
      <c r="B501" s="256" t="s">
        <v>547</v>
      </c>
      <c r="C501" s="263"/>
      <c r="D501" s="258"/>
      <c r="E501" s="258"/>
      <c r="F501" s="254">
        <f>G501*0.055%</f>
        <v>3362716.5</v>
      </c>
      <c r="G501" s="255">
        <v>6114030000</v>
      </c>
    </row>
    <row r="502" spans="1:7">
      <c r="A502" s="356">
        <v>5</v>
      </c>
      <c r="B502" s="256" t="s">
        <v>394</v>
      </c>
      <c r="C502" s="310"/>
      <c r="D502" s="255"/>
      <c r="E502" s="255"/>
      <c r="F502" s="254">
        <f t="shared" ref="F502" si="158">G502*0.055%</f>
        <v>1814725</v>
      </c>
      <c r="G502" s="255">
        <v>3299500000</v>
      </c>
    </row>
    <row r="503" spans="1:7">
      <c r="A503" s="329"/>
      <c r="B503" s="329"/>
      <c r="C503" s="338"/>
      <c r="D503" s="258"/>
      <c r="E503" s="258"/>
      <c r="F503" s="339"/>
      <c r="G503" s="258"/>
    </row>
    <row r="504" spans="1:7">
      <c r="A504" s="376"/>
      <c r="B504" s="376" t="s">
        <v>57</v>
      </c>
      <c r="C504" s="262">
        <f>SUM(C498:C503)</f>
        <v>443572</v>
      </c>
      <c r="D504" s="378"/>
      <c r="E504" s="378">
        <f>SUM(E498:E503)</f>
        <v>10059656880</v>
      </c>
      <c r="F504" s="378">
        <f>SUM(F498:F503)</f>
        <v>646169241.5</v>
      </c>
      <c r="G504" s="378">
        <f>SUM(G498:G503)</f>
        <v>9413530000</v>
      </c>
    </row>
    <row r="506" spans="1:7" ht="15.75">
      <c r="B506" s="162" t="s">
        <v>749</v>
      </c>
    </row>
    <row r="507" spans="1:7">
      <c r="G507" s="342">
        <f>E504-F504-G504</f>
        <v>-42361.5</v>
      </c>
    </row>
    <row r="515" spans="1:20">
      <c r="J515" s="352" t="s">
        <v>29</v>
      </c>
      <c r="K515" s="353"/>
      <c r="L515" s="354"/>
      <c r="M515" s="353"/>
      <c r="N515" s="353"/>
      <c r="O515" s="353"/>
      <c r="P515" s="353"/>
      <c r="Q515" s="353"/>
      <c r="R515" s="353"/>
      <c r="S515" s="353"/>
    </row>
    <row r="516" spans="1:20" ht="21.75" customHeight="1">
      <c r="A516" s="921" t="s">
        <v>0</v>
      </c>
      <c r="B516" s="921" t="s">
        <v>21</v>
      </c>
      <c r="C516" s="813" t="s">
        <v>50</v>
      </c>
      <c r="D516" s="923" t="s">
        <v>51</v>
      </c>
      <c r="E516" s="923" t="s">
        <v>9</v>
      </c>
      <c r="F516" s="923" t="s">
        <v>117</v>
      </c>
      <c r="G516" s="923" t="s">
        <v>52</v>
      </c>
      <c r="I516" s="921" t="s">
        <v>0</v>
      </c>
      <c r="J516" s="921" t="s">
        <v>30</v>
      </c>
      <c r="K516" s="921" t="s">
        <v>31</v>
      </c>
      <c r="L516" s="921" t="s">
        <v>103</v>
      </c>
      <c r="M516" s="921" t="s">
        <v>32</v>
      </c>
      <c r="N516" s="921" t="s">
        <v>573</v>
      </c>
      <c r="O516" s="919" t="s">
        <v>83</v>
      </c>
      <c r="P516" s="920"/>
      <c r="Q516" s="813" t="s">
        <v>33</v>
      </c>
      <c r="R516" s="923" t="s">
        <v>106</v>
      </c>
      <c r="S516" s="923" t="s">
        <v>9</v>
      </c>
      <c r="T516" s="923" t="s">
        <v>82</v>
      </c>
    </row>
    <row r="517" spans="1:20" ht="21.75" customHeight="1">
      <c r="A517" s="922"/>
      <c r="B517" s="922"/>
      <c r="C517" s="814"/>
      <c r="D517" s="924"/>
      <c r="E517" s="924"/>
      <c r="F517" s="924"/>
      <c r="G517" s="924"/>
      <c r="I517" s="922"/>
      <c r="J517" s="922"/>
      <c r="K517" s="922"/>
      <c r="L517" s="922"/>
      <c r="M517" s="922"/>
      <c r="N517" s="922"/>
      <c r="O517" s="731" t="s">
        <v>846</v>
      </c>
      <c r="P517" s="731" t="s">
        <v>847</v>
      </c>
      <c r="Q517" s="814"/>
      <c r="R517" s="924"/>
      <c r="S517" s="924"/>
      <c r="T517" s="924"/>
    </row>
    <row r="518" spans="1:20">
      <c r="A518" s="710">
        <v>1</v>
      </c>
      <c r="B518" s="264" t="s">
        <v>1015</v>
      </c>
      <c r="C518" s="510">
        <v>295550.32</v>
      </c>
      <c r="D518" s="511">
        <v>22690</v>
      </c>
      <c r="E518" s="511">
        <f>C518*D518</f>
        <v>6706036760.8000002</v>
      </c>
      <c r="F518" s="512"/>
      <c r="G518" s="511"/>
      <c r="I518" s="489">
        <v>1</v>
      </c>
      <c r="J518" s="355">
        <v>42941</v>
      </c>
      <c r="K518" s="355">
        <v>42975</v>
      </c>
      <c r="L518" s="710" t="s">
        <v>787</v>
      </c>
      <c r="M518" s="710">
        <f t="shared" ref="M518:M521" si="159">IF(K518&lt;&gt;"",K518-J518+1,"")</f>
        <v>35</v>
      </c>
      <c r="N518" s="710">
        <f t="shared" ref="N518:N521" si="160">IF(M518&lt;&gt;"",M518,"")</f>
        <v>35</v>
      </c>
      <c r="O518" s="729">
        <v>5</v>
      </c>
      <c r="P518" s="729">
        <f t="shared" ref="P518:P521" si="161">IF(K518&lt;&gt;"",O518,0)</f>
        <v>5</v>
      </c>
      <c r="Q518" s="730">
        <f t="shared" ref="Q518:Q521" si="162">O518*13</f>
        <v>65</v>
      </c>
      <c r="R518" s="357">
        <f t="shared" ref="R518:R521" si="163">IF(M518&lt;&gt;"",20000,0)</f>
        <v>20000</v>
      </c>
      <c r="S518" s="357">
        <f t="shared" ref="S518:S521" si="164">IF(M518&lt;&gt;"",R518*Q518*N518/1000,"")</f>
        <v>45500</v>
      </c>
      <c r="T518" s="357"/>
    </row>
    <row r="519" spans="1:20">
      <c r="A519" s="710">
        <v>2</v>
      </c>
      <c r="B519" s="253" t="s">
        <v>123</v>
      </c>
      <c r="C519" s="309"/>
      <c r="D519" s="255"/>
      <c r="E519" s="255"/>
      <c r="F519" s="254">
        <v>2503600</v>
      </c>
      <c r="G519" s="255"/>
      <c r="I519" s="489">
        <v>2</v>
      </c>
      <c r="J519" s="355">
        <v>42942</v>
      </c>
      <c r="K519" s="355">
        <v>42975</v>
      </c>
      <c r="L519" s="710" t="s">
        <v>87</v>
      </c>
      <c r="M519" s="710">
        <f t="shared" si="159"/>
        <v>34</v>
      </c>
      <c r="N519" s="710">
        <f t="shared" si="160"/>
        <v>34</v>
      </c>
      <c r="O519" s="729">
        <v>575</v>
      </c>
      <c r="P519" s="729">
        <f t="shared" si="161"/>
        <v>575</v>
      </c>
      <c r="Q519" s="730">
        <f t="shared" si="162"/>
        <v>7475</v>
      </c>
      <c r="R519" s="357">
        <f t="shared" si="163"/>
        <v>20000</v>
      </c>
      <c r="S519" s="357">
        <f t="shared" si="164"/>
        <v>5083000</v>
      </c>
      <c r="T519" s="357"/>
    </row>
    <row r="520" spans="1:20">
      <c r="A520" s="710">
        <v>3</v>
      </c>
      <c r="B520" s="253" t="s">
        <v>1016</v>
      </c>
      <c r="C520" s="309"/>
      <c r="D520" s="255"/>
      <c r="E520" s="255"/>
      <c r="F520" s="254">
        <f>53000000*12</f>
        <v>636000000</v>
      </c>
      <c r="G520" s="255"/>
      <c r="I520" s="489">
        <v>3</v>
      </c>
      <c r="J520" s="355">
        <v>42942</v>
      </c>
      <c r="K520" s="355">
        <v>42975</v>
      </c>
      <c r="L520" s="710" t="s">
        <v>875</v>
      </c>
      <c r="M520" s="710">
        <f t="shared" si="159"/>
        <v>34</v>
      </c>
      <c r="N520" s="710">
        <f t="shared" si="160"/>
        <v>34</v>
      </c>
      <c r="O520" s="729">
        <v>440</v>
      </c>
      <c r="P520" s="729">
        <f t="shared" si="161"/>
        <v>440</v>
      </c>
      <c r="Q520" s="730">
        <f t="shared" si="162"/>
        <v>5720</v>
      </c>
      <c r="R520" s="357">
        <f t="shared" si="163"/>
        <v>20000</v>
      </c>
      <c r="S520" s="357">
        <f t="shared" si="164"/>
        <v>3889600</v>
      </c>
      <c r="T520" s="357"/>
    </row>
    <row r="521" spans="1:20">
      <c r="A521" s="710">
        <v>4</v>
      </c>
      <c r="B521" s="256" t="s">
        <v>391</v>
      </c>
      <c r="C521" s="263"/>
      <c r="D521" s="258"/>
      <c r="E521" s="258"/>
      <c r="F521" s="254">
        <f>S571</f>
        <v>147555720</v>
      </c>
      <c r="G521" s="255"/>
      <c r="I521" s="489">
        <v>4</v>
      </c>
      <c r="J521" s="355">
        <v>42965</v>
      </c>
      <c r="K521" s="355">
        <v>42975</v>
      </c>
      <c r="L521" s="710" t="s">
        <v>787</v>
      </c>
      <c r="M521" s="710">
        <f t="shared" si="159"/>
        <v>11</v>
      </c>
      <c r="N521" s="710">
        <f t="shared" si="160"/>
        <v>11</v>
      </c>
      <c r="O521" s="729">
        <v>272</v>
      </c>
      <c r="P521" s="729">
        <f t="shared" si="161"/>
        <v>272</v>
      </c>
      <c r="Q521" s="730">
        <f t="shared" si="162"/>
        <v>3536</v>
      </c>
      <c r="R521" s="357">
        <f t="shared" si="163"/>
        <v>20000</v>
      </c>
      <c r="S521" s="357">
        <f t="shared" si="164"/>
        <v>777920</v>
      </c>
      <c r="T521" s="357"/>
    </row>
    <row r="522" spans="1:20">
      <c r="A522" s="356">
        <v>5</v>
      </c>
      <c r="B522" s="256" t="s">
        <v>1019</v>
      </c>
      <c r="C522" s="263"/>
      <c r="D522" s="258"/>
      <c r="E522" s="258"/>
      <c r="F522" s="254">
        <f>2109*49500*13</f>
        <v>1357141500</v>
      </c>
      <c r="G522" s="255"/>
      <c r="I522" s="489">
        <v>5</v>
      </c>
      <c r="J522" s="355">
        <v>42968</v>
      </c>
      <c r="K522" s="355">
        <v>42975</v>
      </c>
      <c r="L522" s="356" t="s">
        <v>787</v>
      </c>
      <c r="M522" s="356">
        <f t="shared" ref="M522:M568" si="165">IF(K522&lt;&gt;"",K522-J522+1,"")</f>
        <v>8</v>
      </c>
      <c r="N522" s="356">
        <f t="shared" ref="N522:N569" si="166">IF(M522&lt;&gt;"",M522,"")</f>
        <v>8</v>
      </c>
      <c r="O522" s="601">
        <v>450</v>
      </c>
      <c r="P522" s="601">
        <f t="shared" ref="P522:P569" si="167">IF(K522&lt;&gt;"",O522,0)</f>
        <v>450</v>
      </c>
      <c r="Q522" s="602">
        <f t="shared" ref="Q522:Q569" si="168">O522*13</f>
        <v>5850</v>
      </c>
      <c r="R522" s="357">
        <f t="shared" ref="R522:R569" si="169">IF(M522&lt;&gt;"",20000,0)</f>
        <v>20000</v>
      </c>
      <c r="S522" s="357">
        <f t="shared" ref="S522:S569" si="170">IF(M522&lt;&gt;"",R522*Q522*N522/1000,"")</f>
        <v>936000</v>
      </c>
      <c r="T522" s="357"/>
    </row>
    <row r="523" spans="1:20">
      <c r="A523" s="356">
        <v>6</v>
      </c>
      <c r="B523" s="256" t="s">
        <v>1043</v>
      </c>
      <c r="C523" s="263"/>
      <c r="D523" s="258"/>
      <c r="E523" s="258"/>
      <c r="F523" s="254"/>
      <c r="G523" s="255">
        <v>4562835940.8000002</v>
      </c>
      <c r="I523" s="489">
        <v>6</v>
      </c>
      <c r="J523" s="355">
        <v>42969</v>
      </c>
      <c r="K523" s="355">
        <v>42975</v>
      </c>
      <c r="L523" s="356" t="s">
        <v>990</v>
      </c>
      <c r="M523" s="356">
        <f t="shared" si="165"/>
        <v>7</v>
      </c>
      <c r="N523" s="356">
        <f t="shared" si="166"/>
        <v>7</v>
      </c>
      <c r="O523" s="601">
        <v>500</v>
      </c>
      <c r="P523" s="601">
        <f t="shared" si="167"/>
        <v>500</v>
      </c>
      <c r="Q523" s="602">
        <f t="shared" si="168"/>
        <v>6500</v>
      </c>
      <c r="R523" s="357">
        <f t="shared" si="169"/>
        <v>20000</v>
      </c>
      <c r="S523" s="357">
        <f t="shared" si="170"/>
        <v>910000</v>
      </c>
      <c r="T523" s="357"/>
    </row>
    <row r="524" spans="1:20">
      <c r="A524" s="356">
        <v>7</v>
      </c>
      <c r="B524" s="256"/>
      <c r="C524" s="263"/>
      <c r="D524" s="258"/>
      <c r="E524" s="258"/>
      <c r="F524" s="254"/>
      <c r="G524" s="255"/>
      <c r="I524" s="489">
        <v>7</v>
      </c>
      <c r="J524" s="355">
        <v>42969</v>
      </c>
      <c r="K524" s="355">
        <v>42975</v>
      </c>
      <c r="L524" s="356" t="s">
        <v>186</v>
      </c>
      <c r="M524" s="356">
        <f t="shared" si="165"/>
        <v>7</v>
      </c>
      <c r="N524" s="356">
        <f t="shared" si="166"/>
        <v>7</v>
      </c>
      <c r="O524" s="601">
        <v>670</v>
      </c>
      <c r="P524" s="601">
        <f t="shared" si="167"/>
        <v>670</v>
      </c>
      <c r="Q524" s="602">
        <f t="shared" si="168"/>
        <v>8710</v>
      </c>
      <c r="R524" s="357">
        <f t="shared" si="169"/>
        <v>20000</v>
      </c>
      <c r="S524" s="357">
        <f t="shared" si="170"/>
        <v>1219400</v>
      </c>
      <c r="T524" s="357"/>
    </row>
    <row r="525" spans="1:20">
      <c r="A525" s="356">
        <v>8</v>
      </c>
      <c r="B525" s="256"/>
      <c r="C525" s="310"/>
      <c r="D525" s="255"/>
      <c r="E525" s="255"/>
      <c r="F525" s="254"/>
      <c r="G525" s="255"/>
      <c r="I525" s="489">
        <v>8</v>
      </c>
      <c r="J525" s="355">
        <v>42969</v>
      </c>
      <c r="K525" s="355">
        <v>42975</v>
      </c>
      <c r="L525" s="356" t="s">
        <v>991</v>
      </c>
      <c r="M525" s="356">
        <f t="shared" si="165"/>
        <v>7</v>
      </c>
      <c r="N525" s="356">
        <f t="shared" si="166"/>
        <v>7</v>
      </c>
      <c r="O525" s="601">
        <f>285+200</f>
        <v>485</v>
      </c>
      <c r="P525" s="601">
        <f t="shared" si="167"/>
        <v>485</v>
      </c>
      <c r="Q525" s="602">
        <f t="shared" si="168"/>
        <v>6305</v>
      </c>
      <c r="R525" s="357">
        <f t="shared" si="169"/>
        <v>20000</v>
      </c>
      <c r="S525" s="357">
        <f t="shared" si="170"/>
        <v>882700</v>
      </c>
      <c r="T525" s="357"/>
    </row>
    <row r="526" spans="1:20">
      <c r="A526" s="329"/>
      <c r="B526" s="329"/>
      <c r="C526" s="338"/>
      <c r="D526" s="258"/>
      <c r="E526" s="258"/>
      <c r="F526" s="339"/>
      <c r="G526" s="258"/>
      <c r="I526" s="489">
        <v>9</v>
      </c>
      <c r="J526" s="355">
        <v>42969</v>
      </c>
      <c r="K526" s="355">
        <v>42975</v>
      </c>
      <c r="L526" s="356" t="s">
        <v>992</v>
      </c>
      <c r="M526" s="356">
        <f t="shared" si="165"/>
        <v>7</v>
      </c>
      <c r="N526" s="356">
        <f t="shared" si="166"/>
        <v>7</v>
      </c>
      <c r="O526" s="601">
        <v>460</v>
      </c>
      <c r="P526" s="601">
        <f t="shared" si="167"/>
        <v>460</v>
      </c>
      <c r="Q526" s="602">
        <f t="shared" si="168"/>
        <v>5980</v>
      </c>
      <c r="R526" s="357">
        <f t="shared" si="169"/>
        <v>20000</v>
      </c>
      <c r="S526" s="357">
        <f t="shared" si="170"/>
        <v>837200</v>
      </c>
      <c r="T526" s="357"/>
    </row>
    <row r="527" spans="1:20">
      <c r="A527" s="376"/>
      <c r="B527" s="376" t="s">
        <v>57</v>
      </c>
      <c r="C527" s="262">
        <f>SUM(C518:C526)</f>
        <v>295550.32</v>
      </c>
      <c r="D527" s="378"/>
      <c r="E527" s="378">
        <f>SUM(E518:E526)</f>
        <v>6706036760.8000002</v>
      </c>
      <c r="F527" s="378">
        <f>SUM(F518:F526)</f>
        <v>2143200820</v>
      </c>
      <c r="G527" s="378">
        <f>SUM(G518:G526)</f>
        <v>4562835940.8000002</v>
      </c>
      <c r="I527" s="489">
        <v>10</v>
      </c>
      <c r="J527" s="355">
        <v>42970</v>
      </c>
      <c r="K527" s="355">
        <v>42975</v>
      </c>
      <c r="L527" s="356" t="s">
        <v>787</v>
      </c>
      <c r="M527" s="356">
        <f t="shared" si="165"/>
        <v>6</v>
      </c>
      <c r="N527" s="356">
        <f t="shared" si="166"/>
        <v>6</v>
      </c>
      <c r="O527" s="601">
        <v>203</v>
      </c>
      <c r="P527" s="601">
        <f t="shared" si="167"/>
        <v>203</v>
      </c>
      <c r="Q527" s="602">
        <f t="shared" si="168"/>
        <v>2639</v>
      </c>
      <c r="R527" s="357">
        <f t="shared" si="169"/>
        <v>20000</v>
      </c>
      <c r="S527" s="357">
        <f t="shared" si="170"/>
        <v>316680</v>
      </c>
      <c r="T527" s="357"/>
    </row>
    <row r="528" spans="1:20">
      <c r="I528" s="489">
        <v>11</v>
      </c>
      <c r="J528" s="355">
        <v>42970</v>
      </c>
      <c r="K528" s="355">
        <v>42983</v>
      </c>
      <c r="L528" s="356" t="s">
        <v>787</v>
      </c>
      <c r="M528" s="356">
        <f t="shared" ref="M528:M555" si="171">IF(K528&lt;&gt;"",K528-J528+1,"")</f>
        <v>14</v>
      </c>
      <c r="N528" s="356">
        <f t="shared" ref="N528:N555" si="172">IF(M528&lt;&gt;"",M528,"")</f>
        <v>14</v>
      </c>
      <c r="O528" s="619">
        <f>471-O527</f>
        <v>268</v>
      </c>
      <c r="P528" s="601">
        <f t="shared" si="167"/>
        <v>268</v>
      </c>
      <c r="Q528" s="602">
        <f t="shared" si="168"/>
        <v>3484</v>
      </c>
      <c r="R528" s="357">
        <f t="shared" si="169"/>
        <v>20000</v>
      </c>
      <c r="S528" s="357">
        <f t="shared" si="170"/>
        <v>975520</v>
      </c>
      <c r="T528" s="357"/>
    </row>
    <row r="529" spans="2:20" ht="15.75">
      <c r="B529" s="162" t="s">
        <v>749</v>
      </c>
      <c r="I529" s="489">
        <v>12</v>
      </c>
      <c r="J529" s="355">
        <v>42970</v>
      </c>
      <c r="K529" s="355">
        <v>42983</v>
      </c>
      <c r="L529" s="356" t="s">
        <v>993</v>
      </c>
      <c r="M529" s="356">
        <f t="shared" si="171"/>
        <v>14</v>
      </c>
      <c r="N529" s="356">
        <f t="shared" si="172"/>
        <v>14</v>
      </c>
      <c r="O529" s="619">
        <v>317</v>
      </c>
      <c r="P529" s="601">
        <f t="shared" si="167"/>
        <v>317</v>
      </c>
      <c r="Q529" s="602">
        <f t="shared" si="168"/>
        <v>4121</v>
      </c>
      <c r="R529" s="357">
        <f t="shared" si="169"/>
        <v>20000</v>
      </c>
      <c r="S529" s="357">
        <f t="shared" si="170"/>
        <v>1153880</v>
      </c>
      <c r="T529" s="357"/>
    </row>
    <row r="530" spans="2:20">
      <c r="G530" s="342">
        <f>E527-F527-G527</f>
        <v>0</v>
      </c>
      <c r="I530" s="489">
        <v>13</v>
      </c>
      <c r="J530" s="355">
        <v>42971</v>
      </c>
      <c r="K530" s="355">
        <v>42983</v>
      </c>
      <c r="L530" s="356" t="s">
        <v>88</v>
      </c>
      <c r="M530" s="356">
        <f t="shared" si="171"/>
        <v>13</v>
      </c>
      <c r="N530" s="356">
        <f t="shared" si="172"/>
        <v>13</v>
      </c>
      <c r="O530" s="619">
        <v>460</v>
      </c>
      <c r="P530" s="601">
        <f t="shared" si="167"/>
        <v>460</v>
      </c>
      <c r="Q530" s="602">
        <f t="shared" si="168"/>
        <v>5980</v>
      </c>
      <c r="R530" s="357">
        <f t="shared" si="169"/>
        <v>20000</v>
      </c>
      <c r="S530" s="357">
        <f t="shared" si="170"/>
        <v>1554800</v>
      </c>
      <c r="T530" s="357"/>
    </row>
    <row r="531" spans="2:20">
      <c r="I531" s="489">
        <v>14</v>
      </c>
      <c r="J531" s="355">
        <v>42972</v>
      </c>
      <c r="K531" s="355">
        <v>42983</v>
      </c>
      <c r="L531" s="356" t="s">
        <v>994</v>
      </c>
      <c r="M531" s="356">
        <f t="shared" si="171"/>
        <v>12</v>
      </c>
      <c r="N531" s="356">
        <f t="shared" si="172"/>
        <v>12</v>
      </c>
      <c r="O531" s="619">
        <v>573</v>
      </c>
      <c r="P531" s="601">
        <f t="shared" si="167"/>
        <v>573</v>
      </c>
      <c r="Q531" s="602">
        <f t="shared" si="168"/>
        <v>7449</v>
      </c>
      <c r="R531" s="357">
        <f t="shared" si="169"/>
        <v>20000</v>
      </c>
      <c r="S531" s="357">
        <f t="shared" si="170"/>
        <v>1787760</v>
      </c>
      <c r="T531" s="357"/>
    </row>
    <row r="532" spans="2:20">
      <c r="I532" s="489">
        <v>15</v>
      </c>
      <c r="J532" s="355">
        <v>42972</v>
      </c>
      <c r="K532" s="355">
        <v>42983</v>
      </c>
      <c r="L532" s="356" t="s">
        <v>85</v>
      </c>
      <c r="M532" s="356">
        <f t="shared" si="171"/>
        <v>12</v>
      </c>
      <c r="N532" s="356">
        <f t="shared" si="172"/>
        <v>12</v>
      </c>
      <c r="O532" s="619">
        <v>412</v>
      </c>
      <c r="P532" s="601">
        <f t="shared" si="167"/>
        <v>412</v>
      </c>
      <c r="Q532" s="602">
        <f t="shared" si="168"/>
        <v>5356</v>
      </c>
      <c r="R532" s="357">
        <f t="shared" si="169"/>
        <v>20000</v>
      </c>
      <c r="S532" s="357">
        <f t="shared" si="170"/>
        <v>1285440</v>
      </c>
      <c r="T532" s="357"/>
    </row>
    <row r="533" spans="2:20">
      <c r="I533" s="489">
        <v>16</v>
      </c>
      <c r="J533" s="355">
        <v>42972</v>
      </c>
      <c r="K533" s="355">
        <v>42984</v>
      </c>
      <c r="L533" s="356" t="s">
        <v>85</v>
      </c>
      <c r="M533" s="356">
        <f t="shared" ref="M533:M538" si="173">IF(K533&lt;&gt;"",K533-J533+1,"")</f>
        <v>13</v>
      </c>
      <c r="N533" s="356">
        <f t="shared" ref="N533:N538" si="174">IF(M533&lt;&gt;"",M533,"")</f>
        <v>13</v>
      </c>
      <c r="O533" s="619">
        <f>420-O532</f>
        <v>8</v>
      </c>
      <c r="P533" s="601">
        <f t="shared" si="167"/>
        <v>8</v>
      </c>
      <c r="Q533" s="602">
        <f t="shared" si="168"/>
        <v>104</v>
      </c>
      <c r="R533" s="357">
        <f t="shared" si="169"/>
        <v>20000</v>
      </c>
      <c r="S533" s="357">
        <f t="shared" si="170"/>
        <v>27040</v>
      </c>
      <c r="T533" s="357"/>
    </row>
    <row r="534" spans="2:20">
      <c r="I534" s="489">
        <v>17</v>
      </c>
      <c r="J534" s="355">
        <v>42972</v>
      </c>
      <c r="K534" s="355">
        <v>42984</v>
      </c>
      <c r="L534" s="356" t="s">
        <v>93</v>
      </c>
      <c r="M534" s="356">
        <f t="shared" si="173"/>
        <v>13</v>
      </c>
      <c r="N534" s="356">
        <f t="shared" si="174"/>
        <v>13</v>
      </c>
      <c r="O534" s="619">
        <v>440</v>
      </c>
      <c r="P534" s="601">
        <f t="shared" si="167"/>
        <v>440</v>
      </c>
      <c r="Q534" s="602">
        <f t="shared" si="168"/>
        <v>5720</v>
      </c>
      <c r="R534" s="357">
        <f t="shared" si="169"/>
        <v>20000</v>
      </c>
      <c r="S534" s="357">
        <f t="shared" si="170"/>
        <v>1487200</v>
      </c>
      <c r="T534" s="357"/>
    </row>
    <row r="535" spans="2:20">
      <c r="I535" s="489">
        <v>18</v>
      </c>
      <c r="J535" s="355">
        <v>42972</v>
      </c>
      <c r="K535" s="355">
        <v>42984</v>
      </c>
      <c r="L535" s="356" t="s">
        <v>995</v>
      </c>
      <c r="M535" s="356">
        <f t="shared" si="173"/>
        <v>13</v>
      </c>
      <c r="N535" s="356">
        <f t="shared" si="174"/>
        <v>13</v>
      </c>
      <c r="O535" s="619">
        <v>424</v>
      </c>
      <c r="P535" s="619">
        <f t="shared" si="167"/>
        <v>424</v>
      </c>
      <c r="Q535" s="621">
        <f t="shared" si="168"/>
        <v>5512</v>
      </c>
      <c r="R535" s="357">
        <f t="shared" si="169"/>
        <v>20000</v>
      </c>
      <c r="S535" s="357">
        <f t="shared" si="170"/>
        <v>1433120</v>
      </c>
      <c r="T535" s="357"/>
    </row>
    <row r="536" spans="2:20">
      <c r="I536" s="489">
        <v>19</v>
      </c>
      <c r="J536" s="355">
        <v>42976</v>
      </c>
      <c r="K536" s="355">
        <v>42984</v>
      </c>
      <c r="L536" s="356" t="s">
        <v>994</v>
      </c>
      <c r="M536" s="356">
        <f t="shared" si="173"/>
        <v>9</v>
      </c>
      <c r="N536" s="356">
        <f t="shared" si="174"/>
        <v>9</v>
      </c>
      <c r="O536" s="619">
        <v>712</v>
      </c>
      <c r="P536" s="619">
        <f t="shared" si="167"/>
        <v>712</v>
      </c>
      <c r="Q536" s="621">
        <f t="shared" si="168"/>
        <v>9256</v>
      </c>
      <c r="R536" s="357">
        <f t="shared" si="169"/>
        <v>20000</v>
      </c>
      <c r="S536" s="357">
        <f t="shared" si="170"/>
        <v>1666080</v>
      </c>
      <c r="T536" s="357"/>
    </row>
    <row r="537" spans="2:20">
      <c r="I537" s="489">
        <v>20</v>
      </c>
      <c r="J537" s="355">
        <v>42982</v>
      </c>
      <c r="K537" s="355">
        <v>42984</v>
      </c>
      <c r="L537" s="356" t="s">
        <v>88</v>
      </c>
      <c r="M537" s="356">
        <f t="shared" si="173"/>
        <v>3</v>
      </c>
      <c r="N537" s="356">
        <f t="shared" si="174"/>
        <v>3</v>
      </c>
      <c r="O537" s="619">
        <v>450</v>
      </c>
      <c r="P537" s="619">
        <f t="shared" si="167"/>
        <v>450</v>
      </c>
      <c r="Q537" s="621">
        <f t="shared" si="168"/>
        <v>5850</v>
      </c>
      <c r="R537" s="357">
        <f t="shared" si="169"/>
        <v>20000</v>
      </c>
      <c r="S537" s="357">
        <f t="shared" si="170"/>
        <v>351000</v>
      </c>
      <c r="T537" s="357"/>
    </row>
    <row r="538" spans="2:20">
      <c r="I538" s="489">
        <v>21</v>
      </c>
      <c r="J538" s="355">
        <v>42984</v>
      </c>
      <c r="K538" s="355">
        <v>42990</v>
      </c>
      <c r="L538" s="589" t="s">
        <v>938</v>
      </c>
      <c r="M538" s="356">
        <f t="shared" si="173"/>
        <v>7</v>
      </c>
      <c r="N538" s="356">
        <f t="shared" si="174"/>
        <v>7</v>
      </c>
      <c r="O538" s="619">
        <v>2030</v>
      </c>
      <c r="P538" s="619">
        <f t="shared" si="167"/>
        <v>2030</v>
      </c>
      <c r="Q538" s="621">
        <f t="shared" si="168"/>
        <v>26390</v>
      </c>
      <c r="R538" s="357">
        <f t="shared" si="169"/>
        <v>20000</v>
      </c>
      <c r="S538" s="357">
        <f t="shared" si="170"/>
        <v>3694600</v>
      </c>
      <c r="T538" s="357"/>
    </row>
    <row r="539" spans="2:20">
      <c r="I539" s="489">
        <v>22</v>
      </c>
      <c r="J539" s="355">
        <v>42985</v>
      </c>
      <c r="K539" s="355">
        <v>42990</v>
      </c>
      <c r="L539" s="356" t="s">
        <v>836</v>
      </c>
      <c r="M539" s="356">
        <f t="shared" si="171"/>
        <v>6</v>
      </c>
      <c r="N539" s="356">
        <f t="shared" si="172"/>
        <v>6</v>
      </c>
      <c r="O539" s="619">
        <v>2030</v>
      </c>
      <c r="P539" s="619">
        <f t="shared" si="167"/>
        <v>2030</v>
      </c>
      <c r="Q539" s="621">
        <f t="shared" si="168"/>
        <v>26390</v>
      </c>
      <c r="R539" s="357">
        <f t="shared" si="169"/>
        <v>20000</v>
      </c>
      <c r="S539" s="357">
        <f t="shared" si="170"/>
        <v>3166800</v>
      </c>
      <c r="T539" s="357"/>
    </row>
    <row r="540" spans="2:20">
      <c r="I540" s="489">
        <v>23</v>
      </c>
      <c r="J540" s="355">
        <v>42987</v>
      </c>
      <c r="K540" s="355">
        <v>42995</v>
      </c>
      <c r="L540" s="356" t="s">
        <v>996</v>
      </c>
      <c r="M540" s="356">
        <f t="shared" si="171"/>
        <v>9</v>
      </c>
      <c r="N540" s="356">
        <f t="shared" si="172"/>
        <v>9</v>
      </c>
      <c r="O540" s="619">
        <v>2030</v>
      </c>
      <c r="P540" s="619">
        <f t="shared" si="167"/>
        <v>2030</v>
      </c>
      <c r="Q540" s="621">
        <f t="shared" si="168"/>
        <v>26390</v>
      </c>
      <c r="R540" s="357">
        <f t="shared" si="169"/>
        <v>20000</v>
      </c>
      <c r="S540" s="357">
        <f t="shared" si="170"/>
        <v>4750200</v>
      </c>
      <c r="T540" s="357"/>
    </row>
    <row r="541" spans="2:20">
      <c r="I541" s="489">
        <v>24</v>
      </c>
      <c r="J541" s="355">
        <v>42987</v>
      </c>
      <c r="K541" s="355">
        <v>42995</v>
      </c>
      <c r="L541" s="356" t="s">
        <v>997</v>
      </c>
      <c r="M541" s="356">
        <f t="shared" si="171"/>
        <v>9</v>
      </c>
      <c r="N541" s="356">
        <f t="shared" si="172"/>
        <v>9</v>
      </c>
      <c r="O541" s="619">
        <v>1955</v>
      </c>
      <c r="P541" s="619">
        <f t="shared" si="167"/>
        <v>1955</v>
      </c>
      <c r="Q541" s="621">
        <f t="shared" si="168"/>
        <v>25415</v>
      </c>
      <c r="R541" s="357">
        <f t="shared" si="169"/>
        <v>20000</v>
      </c>
      <c r="S541" s="357">
        <f t="shared" si="170"/>
        <v>4574700</v>
      </c>
      <c r="T541" s="357"/>
    </row>
    <row r="542" spans="2:20">
      <c r="I542" s="489">
        <v>25</v>
      </c>
      <c r="J542" s="355">
        <v>42987</v>
      </c>
      <c r="K542" s="355">
        <v>42995</v>
      </c>
      <c r="L542" s="356" t="s">
        <v>878</v>
      </c>
      <c r="M542" s="356">
        <f t="shared" si="171"/>
        <v>9</v>
      </c>
      <c r="N542" s="356">
        <f t="shared" si="172"/>
        <v>9</v>
      </c>
      <c r="O542" s="619">
        <v>2030</v>
      </c>
      <c r="P542" s="619">
        <f t="shared" si="167"/>
        <v>2030</v>
      </c>
      <c r="Q542" s="621">
        <f t="shared" si="168"/>
        <v>26390</v>
      </c>
      <c r="R542" s="357">
        <f t="shared" si="169"/>
        <v>20000</v>
      </c>
      <c r="S542" s="357">
        <f t="shared" si="170"/>
        <v>4750200</v>
      </c>
      <c r="T542" s="357"/>
    </row>
    <row r="543" spans="2:20">
      <c r="I543" s="489">
        <v>26</v>
      </c>
      <c r="J543" s="355">
        <v>42987</v>
      </c>
      <c r="K543" s="355">
        <v>42995</v>
      </c>
      <c r="L543" s="356" t="s">
        <v>837</v>
      </c>
      <c r="M543" s="356">
        <f t="shared" si="171"/>
        <v>9</v>
      </c>
      <c r="N543" s="356">
        <f t="shared" si="172"/>
        <v>9</v>
      </c>
      <c r="O543" s="619">
        <v>2030</v>
      </c>
      <c r="P543" s="619">
        <f t="shared" si="167"/>
        <v>2030</v>
      </c>
      <c r="Q543" s="621">
        <f t="shared" si="168"/>
        <v>26390</v>
      </c>
      <c r="R543" s="357">
        <f t="shared" si="169"/>
        <v>20000</v>
      </c>
      <c r="S543" s="357">
        <f t="shared" si="170"/>
        <v>4750200</v>
      </c>
      <c r="T543" s="357"/>
    </row>
    <row r="544" spans="2:20">
      <c r="I544" s="489">
        <v>27</v>
      </c>
      <c r="J544" s="355">
        <v>42987</v>
      </c>
      <c r="K544" s="355">
        <v>42995</v>
      </c>
      <c r="L544" s="356" t="s">
        <v>998</v>
      </c>
      <c r="M544" s="356">
        <f t="shared" ref="M544" si="175">IF(K544&lt;&gt;"",K544-J544+1,"")</f>
        <v>9</v>
      </c>
      <c r="N544" s="356">
        <f t="shared" ref="N544" si="176">IF(M544&lt;&gt;"",M544,"")</f>
        <v>9</v>
      </c>
      <c r="O544" s="619">
        <v>2030</v>
      </c>
      <c r="P544" s="619">
        <f t="shared" ref="P544" si="177">IF(K544&lt;&gt;"",O544,0)</f>
        <v>2030</v>
      </c>
      <c r="Q544" s="621">
        <f t="shared" ref="Q544" si="178">O544*13</f>
        <v>26390</v>
      </c>
      <c r="R544" s="357">
        <f t="shared" ref="R544" si="179">IF(M544&lt;&gt;"",20000,0)</f>
        <v>20000</v>
      </c>
      <c r="S544" s="357">
        <f t="shared" ref="S544" si="180">IF(M544&lt;&gt;"",R544*Q544*N544/1000,"")</f>
        <v>4750200</v>
      </c>
      <c r="T544" s="357"/>
    </row>
    <row r="545" spans="9:20">
      <c r="I545" s="489">
        <v>28</v>
      </c>
      <c r="J545" s="355">
        <v>42990</v>
      </c>
      <c r="K545" s="355">
        <v>42996</v>
      </c>
      <c r="L545" s="356" t="s">
        <v>999</v>
      </c>
      <c r="M545" s="356">
        <f t="shared" ref="M545:M548" si="181">IF(K545&lt;&gt;"",K545-J545+1,"")</f>
        <v>7</v>
      </c>
      <c r="N545" s="356">
        <f t="shared" ref="N545:N548" si="182">IF(M545&lt;&gt;"",M545,"")</f>
        <v>7</v>
      </c>
      <c r="O545" s="619">
        <f>2030</f>
        <v>2030</v>
      </c>
      <c r="P545" s="619">
        <f t="shared" ref="P545:P548" si="183">IF(K545&lt;&gt;"",O545,0)</f>
        <v>2030</v>
      </c>
      <c r="Q545" s="621">
        <f t="shared" ref="Q545:Q548" si="184">O545*13</f>
        <v>26390</v>
      </c>
      <c r="R545" s="357">
        <f t="shared" ref="R545:R548" si="185">IF(M545&lt;&gt;"",20000,0)</f>
        <v>20000</v>
      </c>
      <c r="S545" s="357">
        <f t="shared" ref="S545:S548" si="186">IF(M545&lt;&gt;"",R545*Q545*N545/1000,"")</f>
        <v>3694600</v>
      </c>
      <c r="T545" s="357"/>
    </row>
    <row r="546" spans="9:20">
      <c r="I546" s="489">
        <v>29</v>
      </c>
      <c r="J546" s="355">
        <v>42990</v>
      </c>
      <c r="K546" s="355">
        <v>42996</v>
      </c>
      <c r="L546" s="356" t="s">
        <v>178</v>
      </c>
      <c r="M546" s="356">
        <f t="shared" si="181"/>
        <v>7</v>
      </c>
      <c r="N546" s="356">
        <f t="shared" si="182"/>
        <v>7</v>
      </c>
      <c r="O546" s="619">
        <v>2030</v>
      </c>
      <c r="P546" s="619">
        <f t="shared" si="183"/>
        <v>2030</v>
      </c>
      <c r="Q546" s="621">
        <f t="shared" si="184"/>
        <v>26390</v>
      </c>
      <c r="R546" s="357">
        <f t="shared" si="185"/>
        <v>20000</v>
      </c>
      <c r="S546" s="357">
        <f t="shared" si="186"/>
        <v>3694600</v>
      </c>
      <c r="T546" s="357"/>
    </row>
    <row r="547" spans="9:20">
      <c r="I547" s="489">
        <v>30</v>
      </c>
      <c r="J547" s="355">
        <v>42991</v>
      </c>
      <c r="K547" s="355">
        <v>42996</v>
      </c>
      <c r="L547" s="356" t="s">
        <v>1000</v>
      </c>
      <c r="M547" s="356">
        <f t="shared" si="181"/>
        <v>6</v>
      </c>
      <c r="N547" s="356">
        <f t="shared" si="182"/>
        <v>6</v>
      </c>
      <c r="O547" s="619">
        <v>2030</v>
      </c>
      <c r="P547" s="619">
        <f t="shared" si="183"/>
        <v>2030</v>
      </c>
      <c r="Q547" s="621">
        <f t="shared" si="184"/>
        <v>26390</v>
      </c>
      <c r="R547" s="357">
        <f t="shared" si="185"/>
        <v>20000</v>
      </c>
      <c r="S547" s="357">
        <f t="shared" si="186"/>
        <v>3166800</v>
      </c>
      <c r="T547" s="357"/>
    </row>
    <row r="548" spans="9:20">
      <c r="I548" s="489">
        <v>31</v>
      </c>
      <c r="J548" s="355">
        <v>42991</v>
      </c>
      <c r="K548" s="355">
        <v>42995</v>
      </c>
      <c r="L548" s="356" t="s">
        <v>1001</v>
      </c>
      <c r="M548" s="356">
        <f t="shared" si="181"/>
        <v>5</v>
      </c>
      <c r="N548" s="356">
        <f t="shared" si="182"/>
        <v>5</v>
      </c>
      <c r="O548" s="619">
        <v>75</v>
      </c>
      <c r="P548" s="619">
        <f t="shared" si="183"/>
        <v>75</v>
      </c>
      <c r="Q548" s="621">
        <f t="shared" si="184"/>
        <v>975</v>
      </c>
      <c r="R548" s="357">
        <f t="shared" si="185"/>
        <v>20000</v>
      </c>
      <c r="S548" s="357">
        <f t="shared" si="186"/>
        <v>97500</v>
      </c>
      <c r="T548" s="357"/>
    </row>
    <row r="549" spans="9:20">
      <c r="I549" s="489">
        <v>32</v>
      </c>
      <c r="J549" s="355">
        <v>42991</v>
      </c>
      <c r="K549" s="355">
        <v>43009</v>
      </c>
      <c r="L549" s="356" t="s">
        <v>1001</v>
      </c>
      <c r="M549" s="356">
        <f t="shared" si="171"/>
        <v>19</v>
      </c>
      <c r="N549" s="356">
        <f t="shared" si="172"/>
        <v>19</v>
      </c>
      <c r="O549" s="619">
        <f>2120-O548</f>
        <v>2045</v>
      </c>
      <c r="P549" s="619">
        <f t="shared" si="167"/>
        <v>2045</v>
      </c>
      <c r="Q549" s="621">
        <f t="shared" si="168"/>
        <v>26585</v>
      </c>
      <c r="R549" s="357">
        <f t="shared" si="169"/>
        <v>20000</v>
      </c>
      <c r="S549" s="357">
        <f t="shared" si="170"/>
        <v>10102300</v>
      </c>
      <c r="T549" s="357"/>
    </row>
    <row r="550" spans="9:20">
      <c r="I550" s="489">
        <v>33</v>
      </c>
      <c r="J550" s="355">
        <v>42991</v>
      </c>
      <c r="K550" s="355">
        <v>43009</v>
      </c>
      <c r="L550" s="356" t="s">
        <v>1002</v>
      </c>
      <c r="M550" s="356">
        <f t="shared" si="171"/>
        <v>19</v>
      </c>
      <c r="N550" s="356">
        <f t="shared" si="172"/>
        <v>19</v>
      </c>
      <c r="O550" s="619">
        <v>1971</v>
      </c>
      <c r="P550" s="619">
        <f t="shared" si="167"/>
        <v>1971</v>
      </c>
      <c r="Q550" s="621">
        <f t="shared" si="168"/>
        <v>25623</v>
      </c>
      <c r="R550" s="357">
        <f t="shared" si="169"/>
        <v>20000</v>
      </c>
      <c r="S550" s="357">
        <f t="shared" si="170"/>
        <v>9736740</v>
      </c>
      <c r="T550" s="357"/>
    </row>
    <row r="551" spans="9:20">
      <c r="I551" s="489">
        <v>34</v>
      </c>
      <c r="J551" s="355">
        <v>42991</v>
      </c>
      <c r="K551" s="355">
        <v>43009</v>
      </c>
      <c r="L551" s="356" t="s">
        <v>1003</v>
      </c>
      <c r="M551" s="356">
        <f t="shared" si="171"/>
        <v>19</v>
      </c>
      <c r="N551" s="356">
        <f t="shared" si="172"/>
        <v>19</v>
      </c>
      <c r="O551" s="619">
        <v>2030</v>
      </c>
      <c r="P551" s="619">
        <f t="shared" si="167"/>
        <v>2030</v>
      </c>
      <c r="Q551" s="621">
        <f t="shared" si="168"/>
        <v>26390</v>
      </c>
      <c r="R551" s="357">
        <f t="shared" si="169"/>
        <v>20000</v>
      </c>
      <c r="S551" s="357">
        <f t="shared" si="170"/>
        <v>10028200</v>
      </c>
      <c r="T551" s="357"/>
    </row>
    <row r="552" spans="9:20">
      <c r="I552" s="489">
        <v>35</v>
      </c>
      <c r="J552" s="355">
        <v>42991</v>
      </c>
      <c r="K552" s="355">
        <v>43009</v>
      </c>
      <c r="L552" s="356" t="s">
        <v>1004</v>
      </c>
      <c r="M552" s="356">
        <f t="shared" si="171"/>
        <v>19</v>
      </c>
      <c r="N552" s="356">
        <f t="shared" si="172"/>
        <v>19</v>
      </c>
      <c r="O552" s="619">
        <v>2030</v>
      </c>
      <c r="P552" s="619">
        <f t="shared" si="167"/>
        <v>2030</v>
      </c>
      <c r="Q552" s="621">
        <f t="shared" si="168"/>
        <v>26390</v>
      </c>
      <c r="R552" s="357">
        <f t="shared" si="169"/>
        <v>20000</v>
      </c>
      <c r="S552" s="357">
        <f t="shared" si="170"/>
        <v>10028200</v>
      </c>
      <c r="T552" s="357"/>
    </row>
    <row r="553" spans="9:20">
      <c r="I553" s="489">
        <v>36</v>
      </c>
      <c r="J553" s="355">
        <v>42993</v>
      </c>
      <c r="K553" s="355">
        <v>43009</v>
      </c>
      <c r="L553" s="356" t="s">
        <v>1005</v>
      </c>
      <c r="M553" s="356">
        <f t="shared" si="171"/>
        <v>17</v>
      </c>
      <c r="N553" s="356">
        <f t="shared" si="172"/>
        <v>17</v>
      </c>
      <c r="O553" s="619">
        <v>2030</v>
      </c>
      <c r="P553" s="619">
        <f t="shared" si="167"/>
        <v>2030</v>
      </c>
      <c r="Q553" s="621">
        <f t="shared" si="168"/>
        <v>26390</v>
      </c>
      <c r="R553" s="357">
        <f t="shared" si="169"/>
        <v>20000</v>
      </c>
      <c r="S553" s="357">
        <f t="shared" si="170"/>
        <v>8972600</v>
      </c>
      <c r="T553" s="357"/>
    </row>
    <row r="554" spans="9:20">
      <c r="I554" s="489">
        <v>37</v>
      </c>
      <c r="J554" s="355">
        <v>42993</v>
      </c>
      <c r="K554" s="355">
        <v>43009</v>
      </c>
      <c r="L554" s="356" t="s">
        <v>1006</v>
      </c>
      <c r="M554" s="356">
        <f t="shared" si="171"/>
        <v>17</v>
      </c>
      <c r="N554" s="356">
        <f t="shared" si="172"/>
        <v>17</v>
      </c>
      <c r="O554" s="619">
        <v>2028</v>
      </c>
      <c r="P554" s="619">
        <f t="shared" si="167"/>
        <v>2028</v>
      </c>
      <c r="Q554" s="621">
        <f t="shared" si="168"/>
        <v>26364</v>
      </c>
      <c r="R554" s="357">
        <f t="shared" si="169"/>
        <v>20000</v>
      </c>
      <c r="S554" s="357">
        <f t="shared" si="170"/>
        <v>8963760</v>
      </c>
      <c r="T554" s="357"/>
    </row>
    <row r="555" spans="9:20">
      <c r="I555" s="489">
        <v>38</v>
      </c>
      <c r="J555" s="355">
        <v>42994</v>
      </c>
      <c r="K555" s="355">
        <v>43009</v>
      </c>
      <c r="L555" s="356" t="s">
        <v>1007</v>
      </c>
      <c r="M555" s="356">
        <f t="shared" si="171"/>
        <v>16</v>
      </c>
      <c r="N555" s="356">
        <f t="shared" si="172"/>
        <v>16</v>
      </c>
      <c r="O555" s="619">
        <v>46</v>
      </c>
      <c r="P555" s="619">
        <f t="shared" si="167"/>
        <v>46</v>
      </c>
      <c r="Q555" s="621">
        <f t="shared" si="168"/>
        <v>598</v>
      </c>
      <c r="R555" s="357">
        <f t="shared" si="169"/>
        <v>20000</v>
      </c>
      <c r="S555" s="357">
        <f t="shared" si="170"/>
        <v>191360</v>
      </c>
      <c r="T555" s="357"/>
    </row>
    <row r="556" spans="9:20">
      <c r="I556" s="489">
        <v>39</v>
      </c>
      <c r="J556" s="355">
        <v>42994</v>
      </c>
      <c r="K556" s="355">
        <v>43010</v>
      </c>
      <c r="L556" s="356" t="s">
        <v>1007</v>
      </c>
      <c r="M556" s="356">
        <f t="shared" ref="M556:M565" si="187">IF(K556&lt;&gt;"",K556-J556+1,"")</f>
        <v>17</v>
      </c>
      <c r="N556" s="356">
        <f t="shared" ref="N556:N565" si="188">IF(M556&lt;&gt;"",M556,"")</f>
        <v>17</v>
      </c>
      <c r="O556" s="619">
        <f>1998-O555</f>
        <v>1952</v>
      </c>
      <c r="P556" s="619">
        <f t="shared" ref="P556:P565" si="189">IF(K556&lt;&gt;"",O556,0)</f>
        <v>1952</v>
      </c>
      <c r="Q556" s="621">
        <f t="shared" ref="Q556:Q565" si="190">O556*13</f>
        <v>25376</v>
      </c>
      <c r="R556" s="357">
        <f t="shared" ref="R556:R565" si="191">IF(M556&lt;&gt;"",20000,0)</f>
        <v>20000</v>
      </c>
      <c r="S556" s="357">
        <f t="shared" ref="S556:S565" si="192">IF(M556&lt;&gt;"",R556*Q556*N556/1000,"")</f>
        <v>8627840</v>
      </c>
      <c r="T556" s="357"/>
    </row>
    <row r="557" spans="9:20">
      <c r="I557" s="489">
        <v>40</v>
      </c>
      <c r="J557" s="355">
        <v>42994</v>
      </c>
      <c r="K557" s="355">
        <v>42994</v>
      </c>
      <c r="L557" s="356" t="s">
        <v>144</v>
      </c>
      <c r="M557" s="356">
        <f t="shared" si="187"/>
        <v>1</v>
      </c>
      <c r="N557" s="356">
        <f t="shared" si="188"/>
        <v>1</v>
      </c>
      <c r="O557" s="619">
        <v>2030</v>
      </c>
      <c r="P557" s="619">
        <f t="shared" si="189"/>
        <v>2030</v>
      </c>
      <c r="Q557" s="621">
        <f t="shared" si="190"/>
        <v>26390</v>
      </c>
      <c r="R557" s="357">
        <f t="shared" si="191"/>
        <v>20000</v>
      </c>
      <c r="S557" s="357">
        <f t="shared" si="192"/>
        <v>527800</v>
      </c>
      <c r="T557" s="357"/>
    </row>
    <row r="558" spans="9:20">
      <c r="I558" s="489">
        <v>41</v>
      </c>
      <c r="J558" s="355">
        <v>42994</v>
      </c>
      <c r="K558" s="355">
        <v>42994</v>
      </c>
      <c r="L558" s="356" t="s">
        <v>1008</v>
      </c>
      <c r="M558" s="356">
        <f t="shared" si="187"/>
        <v>1</v>
      </c>
      <c r="N558" s="356">
        <f t="shared" si="188"/>
        <v>1</v>
      </c>
      <c r="O558" s="619">
        <v>2030</v>
      </c>
      <c r="P558" s="619">
        <f t="shared" si="189"/>
        <v>2030</v>
      </c>
      <c r="Q558" s="621">
        <f t="shared" si="190"/>
        <v>26390</v>
      </c>
      <c r="R558" s="357">
        <f t="shared" si="191"/>
        <v>20000</v>
      </c>
      <c r="S558" s="357">
        <f t="shared" si="192"/>
        <v>527800</v>
      </c>
      <c r="T558" s="357"/>
    </row>
    <row r="559" spans="9:20">
      <c r="I559" s="489">
        <v>42</v>
      </c>
      <c r="J559" s="355">
        <v>42996</v>
      </c>
      <c r="K559" s="355">
        <v>42996</v>
      </c>
      <c r="L559" s="356" t="s">
        <v>1009</v>
      </c>
      <c r="M559" s="356">
        <f t="shared" si="187"/>
        <v>1</v>
      </c>
      <c r="N559" s="356">
        <f t="shared" si="188"/>
        <v>1</v>
      </c>
      <c r="O559" s="619">
        <v>2030</v>
      </c>
      <c r="P559" s="619">
        <f t="shared" si="189"/>
        <v>2030</v>
      </c>
      <c r="Q559" s="621">
        <f t="shared" si="190"/>
        <v>26390</v>
      </c>
      <c r="R559" s="357">
        <f t="shared" si="191"/>
        <v>20000</v>
      </c>
      <c r="S559" s="357">
        <f t="shared" si="192"/>
        <v>527800</v>
      </c>
      <c r="T559" s="357"/>
    </row>
    <row r="560" spans="9:20">
      <c r="I560" s="489">
        <v>43</v>
      </c>
      <c r="J560" s="355">
        <v>42996</v>
      </c>
      <c r="K560" s="355">
        <v>42996</v>
      </c>
      <c r="L560" s="356" t="s">
        <v>1010</v>
      </c>
      <c r="M560" s="356">
        <f t="shared" si="187"/>
        <v>1</v>
      </c>
      <c r="N560" s="356">
        <f t="shared" si="188"/>
        <v>1</v>
      </c>
      <c r="O560" s="619">
        <v>2030</v>
      </c>
      <c r="P560" s="619">
        <f t="shared" si="189"/>
        <v>2030</v>
      </c>
      <c r="Q560" s="621">
        <f t="shared" si="190"/>
        <v>26390</v>
      </c>
      <c r="R560" s="357">
        <f t="shared" si="191"/>
        <v>20000</v>
      </c>
      <c r="S560" s="357">
        <f t="shared" si="192"/>
        <v>527800</v>
      </c>
      <c r="T560" s="357"/>
    </row>
    <row r="561" spans="1:20">
      <c r="I561" s="489">
        <v>44</v>
      </c>
      <c r="J561" s="355">
        <v>42997</v>
      </c>
      <c r="K561" s="355"/>
      <c r="L561" s="356" t="s">
        <v>1011</v>
      </c>
      <c r="M561" s="356" t="str">
        <f t="shared" si="187"/>
        <v/>
      </c>
      <c r="N561" s="356" t="str">
        <f t="shared" si="188"/>
        <v/>
      </c>
      <c r="O561" s="619">
        <v>2030</v>
      </c>
      <c r="P561" s="619">
        <f t="shared" si="189"/>
        <v>0</v>
      </c>
      <c r="Q561" s="621">
        <f t="shared" si="190"/>
        <v>26390</v>
      </c>
      <c r="R561" s="357">
        <f t="shared" si="191"/>
        <v>0</v>
      </c>
      <c r="S561" s="357" t="str">
        <f t="shared" si="192"/>
        <v/>
      </c>
      <c r="T561" s="357"/>
    </row>
    <row r="562" spans="1:20">
      <c r="I562" s="489">
        <v>45</v>
      </c>
      <c r="J562" s="355">
        <v>42997</v>
      </c>
      <c r="K562" s="355"/>
      <c r="L562" s="356" t="s">
        <v>588</v>
      </c>
      <c r="M562" s="356" t="str">
        <f t="shared" si="187"/>
        <v/>
      </c>
      <c r="N562" s="356" t="str">
        <f t="shared" si="188"/>
        <v/>
      </c>
      <c r="O562" s="619">
        <v>2030</v>
      </c>
      <c r="P562" s="619">
        <f t="shared" si="189"/>
        <v>0</v>
      </c>
      <c r="Q562" s="621">
        <f t="shared" si="190"/>
        <v>26390</v>
      </c>
      <c r="R562" s="357">
        <f t="shared" si="191"/>
        <v>0</v>
      </c>
      <c r="S562" s="357" t="str">
        <f t="shared" si="192"/>
        <v/>
      </c>
      <c r="T562" s="357"/>
    </row>
    <row r="563" spans="1:20">
      <c r="I563" s="489">
        <v>46</v>
      </c>
      <c r="J563" s="355">
        <v>42998</v>
      </c>
      <c r="K563" s="355"/>
      <c r="L563" s="356" t="s">
        <v>996</v>
      </c>
      <c r="M563" s="356" t="str">
        <f t="shared" si="187"/>
        <v/>
      </c>
      <c r="N563" s="356" t="str">
        <f t="shared" si="188"/>
        <v/>
      </c>
      <c r="O563" s="619">
        <v>2030</v>
      </c>
      <c r="P563" s="619">
        <f t="shared" si="189"/>
        <v>0</v>
      </c>
      <c r="Q563" s="621">
        <f t="shared" si="190"/>
        <v>26390</v>
      </c>
      <c r="R563" s="357">
        <f t="shared" si="191"/>
        <v>0</v>
      </c>
      <c r="S563" s="357" t="str">
        <f t="shared" si="192"/>
        <v/>
      </c>
      <c r="T563" s="357"/>
    </row>
    <row r="564" spans="1:20">
      <c r="I564" s="489">
        <v>47</v>
      </c>
      <c r="J564" s="355">
        <v>42998</v>
      </c>
      <c r="K564" s="355"/>
      <c r="L564" s="356" t="s">
        <v>1012</v>
      </c>
      <c r="M564" s="356" t="str">
        <f t="shared" si="187"/>
        <v/>
      </c>
      <c r="N564" s="356" t="str">
        <f t="shared" si="188"/>
        <v/>
      </c>
      <c r="O564" s="619">
        <v>2030</v>
      </c>
      <c r="P564" s="619">
        <f t="shared" si="189"/>
        <v>0</v>
      </c>
      <c r="Q564" s="621">
        <f t="shared" si="190"/>
        <v>26390</v>
      </c>
      <c r="R564" s="357">
        <f t="shared" si="191"/>
        <v>0</v>
      </c>
      <c r="S564" s="357" t="str">
        <f t="shared" si="192"/>
        <v/>
      </c>
      <c r="T564" s="357"/>
    </row>
    <row r="565" spans="1:20">
      <c r="I565" s="489">
        <v>48</v>
      </c>
      <c r="J565" s="355">
        <v>42998</v>
      </c>
      <c r="K565" s="355">
        <v>43010</v>
      </c>
      <c r="L565" s="356" t="s">
        <v>1013</v>
      </c>
      <c r="M565" s="356">
        <f t="shared" si="187"/>
        <v>13</v>
      </c>
      <c r="N565" s="356">
        <f t="shared" si="188"/>
        <v>13</v>
      </c>
      <c r="O565" s="619">
        <v>2030</v>
      </c>
      <c r="P565" s="619">
        <f t="shared" si="189"/>
        <v>2030</v>
      </c>
      <c r="Q565" s="621">
        <f t="shared" si="190"/>
        <v>26390</v>
      </c>
      <c r="R565" s="357">
        <f t="shared" si="191"/>
        <v>20000</v>
      </c>
      <c r="S565" s="357">
        <f t="shared" si="192"/>
        <v>6861400</v>
      </c>
      <c r="T565" s="357"/>
    </row>
    <row r="566" spans="1:20">
      <c r="I566" s="489">
        <v>49</v>
      </c>
      <c r="J566" s="355">
        <v>43007</v>
      </c>
      <c r="K566" s="355">
        <v>43010</v>
      </c>
      <c r="L566" s="356" t="s">
        <v>1009</v>
      </c>
      <c r="M566" s="356">
        <f t="shared" si="165"/>
        <v>4</v>
      </c>
      <c r="N566" s="356">
        <f t="shared" si="166"/>
        <v>4</v>
      </c>
      <c r="O566" s="619">
        <v>2030</v>
      </c>
      <c r="P566" s="619">
        <f t="shared" si="167"/>
        <v>2030</v>
      </c>
      <c r="Q566" s="621">
        <f t="shared" si="168"/>
        <v>26390</v>
      </c>
      <c r="R566" s="357">
        <f t="shared" si="169"/>
        <v>20000</v>
      </c>
      <c r="S566" s="357">
        <f t="shared" si="170"/>
        <v>2111200</v>
      </c>
      <c r="T566" s="357"/>
    </row>
    <row r="567" spans="1:20">
      <c r="I567" s="489">
        <v>50</v>
      </c>
      <c r="J567" s="355">
        <v>43009</v>
      </c>
      <c r="K567" s="355">
        <v>43010</v>
      </c>
      <c r="L567" s="356" t="s">
        <v>1014</v>
      </c>
      <c r="M567" s="356">
        <f t="shared" si="165"/>
        <v>2</v>
      </c>
      <c r="N567" s="356">
        <f t="shared" si="166"/>
        <v>2</v>
      </c>
      <c r="O567" s="619">
        <v>2029</v>
      </c>
      <c r="P567" s="619">
        <f t="shared" si="167"/>
        <v>2029</v>
      </c>
      <c r="Q567" s="621">
        <f t="shared" si="168"/>
        <v>26377</v>
      </c>
      <c r="R567" s="357">
        <f t="shared" si="169"/>
        <v>20000</v>
      </c>
      <c r="S567" s="357">
        <f t="shared" si="170"/>
        <v>1055080</v>
      </c>
      <c r="T567" s="357"/>
    </row>
    <row r="568" spans="1:20">
      <c r="I568" s="489">
        <v>51</v>
      </c>
      <c r="J568" s="355">
        <v>43009</v>
      </c>
      <c r="K568" s="355">
        <v>43010</v>
      </c>
      <c r="L568" s="356" t="s">
        <v>553</v>
      </c>
      <c r="M568" s="356">
        <f t="shared" si="165"/>
        <v>2</v>
      </c>
      <c r="N568" s="356">
        <f t="shared" si="166"/>
        <v>2</v>
      </c>
      <c r="O568" s="619">
        <v>2030</v>
      </c>
      <c r="P568" s="619">
        <f t="shared" si="167"/>
        <v>2030</v>
      </c>
      <c r="Q568" s="621">
        <f t="shared" si="168"/>
        <v>26390</v>
      </c>
      <c r="R568" s="357">
        <f t="shared" si="169"/>
        <v>20000</v>
      </c>
      <c r="S568" s="357">
        <f t="shared" si="170"/>
        <v>1055600</v>
      </c>
      <c r="T568" s="357"/>
    </row>
    <row r="569" spans="1:20">
      <c r="I569" s="489">
        <v>52</v>
      </c>
      <c r="J569" s="355">
        <v>43010</v>
      </c>
      <c r="K569" s="355">
        <v>43010</v>
      </c>
      <c r="L569" s="356" t="s">
        <v>108</v>
      </c>
      <c r="M569" s="356"/>
      <c r="N569" s="356" t="str">
        <f t="shared" si="166"/>
        <v/>
      </c>
      <c r="O569" s="619">
        <v>2109</v>
      </c>
      <c r="P569" s="619">
        <f t="shared" si="167"/>
        <v>2109</v>
      </c>
      <c r="Q569" s="621">
        <f t="shared" si="168"/>
        <v>27417</v>
      </c>
      <c r="R569" s="357">
        <f t="shared" si="169"/>
        <v>0</v>
      </c>
      <c r="S569" s="357" t="str">
        <f t="shared" si="170"/>
        <v/>
      </c>
      <c r="T569" s="357"/>
    </row>
    <row r="570" spans="1:20">
      <c r="I570" s="489"/>
      <c r="J570" s="355"/>
      <c r="K570" s="355"/>
      <c r="L570" s="356"/>
      <c r="M570" s="356"/>
      <c r="N570" s="356"/>
      <c r="O570" s="601"/>
      <c r="P570" s="601"/>
      <c r="Q570" s="602"/>
      <c r="R570" s="357"/>
      <c r="S570" s="357"/>
      <c r="T570" s="357"/>
    </row>
    <row r="571" spans="1:20">
      <c r="I571" s="414"/>
      <c r="J571" s="414"/>
      <c r="K571" s="414"/>
      <c r="L571" s="414" t="s">
        <v>19</v>
      </c>
      <c r="M571" s="414"/>
      <c r="N571" s="414"/>
      <c r="O571" s="413">
        <f>SUM(O518:O570)</f>
        <v>69024</v>
      </c>
      <c r="P571" s="413">
        <f>SUM(P518:P570)</f>
        <v>60904</v>
      </c>
      <c r="Q571" s="413">
        <f>SUM(Q518:Q570)</f>
        <v>897312</v>
      </c>
      <c r="R571" s="413"/>
      <c r="S571" s="415">
        <f>SUM(S518:S570)</f>
        <v>147555720</v>
      </c>
      <c r="T571" s="415"/>
    </row>
    <row r="572" spans="1:20">
      <c r="L572" s="352" t="s">
        <v>845</v>
      </c>
      <c r="M572" s="860">
        <f>O571-P571</f>
        <v>8120</v>
      </c>
      <c r="N572" s="860"/>
      <c r="O572" s="860"/>
      <c r="P572" s="557"/>
    </row>
    <row r="574" spans="1:20">
      <c r="J574" s="352" t="s">
        <v>1044</v>
      </c>
      <c r="K574" s="353"/>
      <c r="L574" s="354"/>
      <c r="M574" s="353"/>
      <c r="N574" s="353"/>
      <c r="O574" s="353"/>
      <c r="P574" s="353"/>
      <c r="Q574" s="353"/>
      <c r="R574" s="353"/>
      <c r="S574" s="353"/>
    </row>
    <row r="575" spans="1:20" ht="21" customHeight="1">
      <c r="A575" s="803" t="s">
        <v>0</v>
      </c>
      <c r="B575" s="803" t="s">
        <v>21</v>
      </c>
      <c r="C575" s="855" t="s">
        <v>50</v>
      </c>
      <c r="D575" s="815" t="s">
        <v>51</v>
      </c>
      <c r="E575" s="815" t="s">
        <v>9</v>
      </c>
      <c r="F575" s="815" t="s">
        <v>117</v>
      </c>
      <c r="G575" s="815" t="s">
        <v>52</v>
      </c>
      <c r="I575" s="803" t="s">
        <v>0</v>
      </c>
      <c r="J575" s="803" t="s">
        <v>30</v>
      </c>
      <c r="K575" s="803" t="s">
        <v>31</v>
      </c>
      <c r="L575" s="803" t="s">
        <v>103</v>
      </c>
      <c r="M575" s="803" t="s">
        <v>32</v>
      </c>
      <c r="N575" s="803" t="s">
        <v>573</v>
      </c>
      <c r="O575" s="919" t="s">
        <v>83</v>
      </c>
      <c r="P575" s="920"/>
      <c r="Q575" s="813" t="s">
        <v>33</v>
      </c>
      <c r="R575" s="815" t="s">
        <v>106</v>
      </c>
      <c r="S575" s="815" t="s">
        <v>9</v>
      </c>
      <c r="T575" s="815" t="s">
        <v>82</v>
      </c>
    </row>
    <row r="576" spans="1:20" ht="21" customHeight="1">
      <c r="A576" s="803"/>
      <c r="B576" s="803"/>
      <c r="C576" s="855"/>
      <c r="D576" s="815"/>
      <c r="E576" s="815"/>
      <c r="F576" s="815"/>
      <c r="G576" s="815"/>
      <c r="I576" s="803"/>
      <c r="J576" s="803"/>
      <c r="K576" s="803"/>
      <c r="L576" s="803"/>
      <c r="M576" s="803"/>
      <c r="N576" s="803"/>
      <c r="O576" s="639" t="s">
        <v>846</v>
      </c>
      <c r="P576" s="639" t="s">
        <v>847</v>
      </c>
      <c r="Q576" s="814"/>
      <c r="R576" s="815"/>
      <c r="S576" s="815"/>
      <c r="T576" s="815"/>
    </row>
    <row r="577" spans="1:20" ht="21" customHeight="1">
      <c r="A577" s="356">
        <v>1</v>
      </c>
      <c r="B577" s="264" t="s">
        <v>1152</v>
      </c>
      <c r="C577" s="510">
        <v>443334.27</v>
      </c>
      <c r="D577" s="511">
        <v>22690</v>
      </c>
      <c r="E577" s="511">
        <f>C577*D577</f>
        <v>10059254586.300001</v>
      </c>
      <c r="F577" s="512"/>
      <c r="G577" s="511"/>
      <c r="I577" s="489">
        <v>1</v>
      </c>
      <c r="J577" s="355">
        <v>42997</v>
      </c>
      <c r="K577" s="355">
        <v>43015</v>
      </c>
      <c r="L577" s="356" t="s">
        <v>1011</v>
      </c>
      <c r="M577" s="356">
        <f t="shared" ref="M577:M580" si="193">IF(K577&lt;&gt;"",K577-J577+1,"")</f>
        <v>19</v>
      </c>
      <c r="N577" s="356">
        <f t="shared" ref="N577:N580" si="194">IF(M577&lt;&gt;"",M577,"")</f>
        <v>19</v>
      </c>
      <c r="O577" s="637">
        <v>2030</v>
      </c>
      <c r="P577" s="637">
        <f t="shared" ref="P577:P580" si="195">IF(K577&lt;&gt;"",O577,0)</f>
        <v>2030</v>
      </c>
      <c r="Q577" s="638">
        <f t="shared" ref="Q577:Q580" si="196">O577*13</f>
        <v>26390</v>
      </c>
      <c r="R577" s="357">
        <f t="shared" ref="R577:R580" si="197">IF(M577&lt;&gt;"",20000,0)</f>
        <v>20000</v>
      </c>
      <c r="S577" s="357">
        <f t="shared" ref="S577:S580" si="198">IF(M577&lt;&gt;"",R577*Q577*N577/1000,"")</f>
        <v>10028200</v>
      </c>
      <c r="T577" s="357"/>
    </row>
    <row r="578" spans="1:20" ht="21" customHeight="1">
      <c r="A578" s="356">
        <v>2</v>
      </c>
      <c r="B578" s="253" t="s">
        <v>123</v>
      </c>
      <c r="C578" s="309"/>
      <c r="D578" s="255"/>
      <c r="E578" s="255"/>
      <c r="F578" s="254">
        <v>2503600</v>
      </c>
      <c r="G578" s="255"/>
      <c r="I578" s="489">
        <v>2</v>
      </c>
      <c r="J578" s="355">
        <v>42997</v>
      </c>
      <c r="K578" s="355">
        <v>43015</v>
      </c>
      <c r="L578" s="356" t="s">
        <v>588</v>
      </c>
      <c r="M578" s="356">
        <f t="shared" si="193"/>
        <v>19</v>
      </c>
      <c r="N578" s="356">
        <f t="shared" si="194"/>
        <v>19</v>
      </c>
      <c r="O578" s="637">
        <v>2030</v>
      </c>
      <c r="P578" s="637">
        <f t="shared" si="195"/>
        <v>2030</v>
      </c>
      <c r="Q578" s="638">
        <f t="shared" si="196"/>
        <v>26390</v>
      </c>
      <c r="R578" s="357">
        <f t="shared" si="197"/>
        <v>20000</v>
      </c>
      <c r="S578" s="357">
        <f t="shared" si="198"/>
        <v>10028200</v>
      </c>
      <c r="T578" s="357"/>
    </row>
    <row r="579" spans="1:20" ht="21" customHeight="1">
      <c r="A579" s="356">
        <v>3</v>
      </c>
      <c r="B579" s="253" t="s">
        <v>1124</v>
      </c>
      <c r="C579" s="309"/>
      <c r="D579" s="255"/>
      <c r="E579" s="255"/>
      <c r="F579" s="254">
        <f>53000000*22</f>
        <v>1166000000</v>
      </c>
      <c r="G579" s="255"/>
      <c r="I579" s="489">
        <v>3</v>
      </c>
      <c r="J579" s="355">
        <v>42998</v>
      </c>
      <c r="K579" s="355">
        <v>43016</v>
      </c>
      <c r="L579" s="356" t="s">
        <v>996</v>
      </c>
      <c r="M579" s="356">
        <f t="shared" si="193"/>
        <v>19</v>
      </c>
      <c r="N579" s="356">
        <f t="shared" si="194"/>
        <v>19</v>
      </c>
      <c r="O579" s="637">
        <v>2030</v>
      </c>
      <c r="P579" s="637">
        <f t="shared" si="195"/>
        <v>2030</v>
      </c>
      <c r="Q579" s="638">
        <f t="shared" si="196"/>
        <v>26390</v>
      </c>
      <c r="R579" s="357">
        <f t="shared" si="197"/>
        <v>20000</v>
      </c>
      <c r="S579" s="357">
        <f t="shared" si="198"/>
        <v>10028200</v>
      </c>
      <c r="T579" s="357"/>
    </row>
    <row r="580" spans="1:20" ht="21" customHeight="1">
      <c r="A580" s="356">
        <v>4</v>
      </c>
      <c r="B580" s="256" t="s">
        <v>1123</v>
      </c>
      <c r="C580" s="263"/>
      <c r="D580" s="258"/>
      <c r="E580" s="258"/>
      <c r="F580" s="254">
        <f>S582</f>
        <v>40640600</v>
      </c>
      <c r="G580" s="255"/>
      <c r="I580" s="489">
        <v>4</v>
      </c>
      <c r="J580" s="355">
        <v>42998</v>
      </c>
      <c r="K580" s="355">
        <v>43017</v>
      </c>
      <c r="L580" s="356" t="s">
        <v>1012</v>
      </c>
      <c r="M580" s="356">
        <f t="shared" si="193"/>
        <v>20</v>
      </c>
      <c r="N580" s="356">
        <f t="shared" si="194"/>
        <v>20</v>
      </c>
      <c r="O580" s="637">
        <v>2030</v>
      </c>
      <c r="P580" s="637">
        <f t="shared" si="195"/>
        <v>2030</v>
      </c>
      <c r="Q580" s="638">
        <f t="shared" si="196"/>
        <v>26390</v>
      </c>
      <c r="R580" s="357">
        <f t="shared" si="197"/>
        <v>20000</v>
      </c>
      <c r="S580" s="357">
        <f t="shared" si="198"/>
        <v>10556000</v>
      </c>
      <c r="T580" s="357"/>
    </row>
    <row r="581" spans="1:20" ht="21" customHeight="1">
      <c r="A581" s="356">
        <v>5</v>
      </c>
      <c r="B581" s="256" t="s">
        <v>547</v>
      </c>
      <c r="C581" s="263"/>
      <c r="D581" s="258"/>
      <c r="E581" s="258"/>
      <c r="F581" s="254">
        <f>G581*0.055%</f>
        <v>2420089.1</v>
      </c>
      <c r="G581" s="255">
        <v>4400162000</v>
      </c>
      <c r="I581" s="489"/>
      <c r="J581" s="355"/>
      <c r="K581" s="355"/>
      <c r="L581" s="356"/>
      <c r="M581" s="356"/>
      <c r="N581" s="356"/>
      <c r="O581" s="637"/>
      <c r="P581" s="637"/>
      <c r="Q581" s="638"/>
      <c r="R581" s="357"/>
      <c r="S581" s="357"/>
      <c r="T581" s="357"/>
    </row>
    <row r="582" spans="1:20" ht="21" customHeight="1">
      <c r="A582" s="356">
        <v>6</v>
      </c>
      <c r="B582" s="256" t="s">
        <v>394</v>
      </c>
      <c r="C582" s="263"/>
      <c r="D582" s="258"/>
      <c r="E582" s="258"/>
      <c r="F582" s="254">
        <f>G582*0.055%</f>
        <v>2229456.9</v>
      </c>
      <c r="G582" s="255">
        <v>4053558000</v>
      </c>
      <c r="I582" s="414"/>
      <c r="J582" s="414"/>
      <c r="K582" s="414"/>
      <c r="L582" s="414" t="s">
        <v>19</v>
      </c>
      <c r="M582" s="414"/>
      <c r="N582" s="414"/>
      <c r="O582" s="413">
        <f>SUM(O577:O581)</f>
        <v>8120</v>
      </c>
      <c r="P582" s="413">
        <f>SUM(P577:P581)</f>
        <v>8120</v>
      </c>
      <c r="Q582" s="413">
        <f>SUM(Q577:Q581)</f>
        <v>105560</v>
      </c>
      <c r="R582" s="413"/>
      <c r="S582" s="415">
        <f>SUM(S577:S581)</f>
        <v>40640600</v>
      </c>
      <c r="T582" s="415"/>
    </row>
    <row r="583" spans="1:20" ht="21" customHeight="1">
      <c r="A583" s="356">
        <v>7</v>
      </c>
      <c r="B583" s="256" t="s">
        <v>56</v>
      </c>
      <c r="C583" s="263"/>
      <c r="D583" s="258"/>
      <c r="E583" s="258"/>
      <c r="F583" s="254">
        <f>G583*0.055%</f>
        <v>215380</v>
      </c>
      <c r="G583" s="255">
        <v>391600000</v>
      </c>
      <c r="L583" s="352" t="s">
        <v>845</v>
      </c>
      <c r="M583" s="860">
        <f>O582-P582</f>
        <v>0</v>
      </c>
      <c r="N583" s="860"/>
      <c r="O583" s="860"/>
      <c r="P583" s="557"/>
    </row>
    <row r="584" spans="1:20" ht="21" customHeight="1">
      <c r="A584" s="356">
        <v>8</v>
      </c>
      <c r="B584" s="256"/>
      <c r="C584" s="310"/>
      <c r="D584" s="255"/>
      <c r="E584" s="255"/>
      <c r="F584" s="254"/>
      <c r="G584" s="255"/>
    </row>
    <row r="585" spans="1:20" ht="21" customHeight="1">
      <c r="A585" s="329"/>
      <c r="B585" s="329"/>
      <c r="C585" s="338"/>
      <c r="D585" s="258"/>
      <c r="E585" s="258"/>
      <c r="F585" s="339"/>
      <c r="G585" s="258"/>
      <c r="I585" s="335"/>
      <c r="J585" s="335"/>
      <c r="K585" s="335"/>
      <c r="L585" s="335"/>
      <c r="M585" s="335"/>
      <c r="N585" s="335"/>
      <c r="O585" s="335"/>
      <c r="P585" s="335"/>
    </row>
    <row r="586" spans="1:20" ht="21" customHeight="1">
      <c r="A586" s="376"/>
      <c r="B586" s="376" t="s">
        <v>57</v>
      </c>
      <c r="C586" s="262">
        <f>SUM(C577:C585)</f>
        <v>443334.27</v>
      </c>
      <c r="D586" s="378"/>
      <c r="E586" s="378">
        <f>SUM(E577:E585)</f>
        <v>10059254586.300001</v>
      </c>
      <c r="F586" s="378">
        <f>SUM(F577:F585)</f>
        <v>1214009126</v>
      </c>
      <c r="G586" s="378">
        <f>SUM(G577:G585)</f>
        <v>8845320000</v>
      </c>
      <c r="I586" s="335"/>
      <c r="J586" s="335"/>
      <c r="K586" s="335"/>
      <c r="L586" s="335"/>
      <c r="M586" s="335"/>
      <c r="N586" s="335"/>
      <c r="O586" s="335"/>
      <c r="P586" s="335"/>
    </row>
    <row r="587" spans="1:20" ht="21" customHeight="1">
      <c r="I587" s="335"/>
      <c r="J587" s="335"/>
      <c r="K587" s="335"/>
      <c r="L587" s="335"/>
      <c r="M587" s="335"/>
      <c r="N587" s="335"/>
      <c r="O587" s="335"/>
      <c r="P587" s="335"/>
    </row>
    <row r="588" spans="1:20" ht="21" customHeight="1">
      <c r="B588" s="162" t="s">
        <v>749</v>
      </c>
      <c r="I588" s="335"/>
      <c r="J588" s="335"/>
      <c r="K588" s="335"/>
      <c r="L588" s="335"/>
      <c r="M588" s="335"/>
      <c r="N588" s="335"/>
      <c r="O588" s="335"/>
      <c r="P588" s="335"/>
    </row>
    <row r="589" spans="1:20" ht="21" customHeight="1">
      <c r="G589" s="342">
        <f>E586-F586-G586</f>
        <v>-74539.699998855591</v>
      </c>
      <c r="I589" s="335"/>
      <c r="J589" s="335"/>
      <c r="K589" s="335"/>
      <c r="L589" s="335"/>
      <c r="M589" s="335"/>
      <c r="N589" s="335"/>
      <c r="O589" s="335"/>
      <c r="P589" s="335"/>
    </row>
    <row r="590" spans="1:20" ht="21" customHeight="1">
      <c r="I590" s="335"/>
      <c r="J590" s="335"/>
      <c r="K590" s="335"/>
      <c r="L590" s="335"/>
      <c r="M590" s="335"/>
      <c r="N590" s="335"/>
      <c r="O590" s="335"/>
      <c r="P590" s="335"/>
    </row>
    <row r="591" spans="1:20" ht="21" customHeight="1">
      <c r="I591" s="335"/>
      <c r="J591" s="335"/>
      <c r="K591" s="335"/>
      <c r="L591" s="335"/>
      <c r="M591" s="335"/>
      <c r="N591" s="335"/>
      <c r="O591" s="335"/>
      <c r="P591" s="335"/>
    </row>
    <row r="592" spans="1:20" ht="21" customHeight="1">
      <c r="A592" s="803" t="s">
        <v>0</v>
      </c>
      <c r="B592" s="803" t="s">
        <v>21</v>
      </c>
      <c r="C592" s="855" t="s">
        <v>50</v>
      </c>
      <c r="D592" s="815" t="s">
        <v>51</v>
      </c>
      <c r="E592" s="815" t="s">
        <v>9</v>
      </c>
      <c r="F592" s="815" t="s">
        <v>117</v>
      </c>
      <c r="G592" s="815" t="s">
        <v>52</v>
      </c>
      <c r="I592" s="335"/>
      <c r="J592" s="335"/>
      <c r="K592" s="335"/>
      <c r="L592" s="335"/>
      <c r="M592" s="335"/>
      <c r="N592" s="335"/>
      <c r="O592" s="335"/>
      <c r="P592" s="335"/>
    </row>
    <row r="593" spans="1:16" ht="21" customHeight="1">
      <c r="A593" s="803"/>
      <c r="B593" s="803"/>
      <c r="C593" s="855"/>
      <c r="D593" s="815"/>
      <c r="E593" s="815"/>
      <c r="F593" s="815"/>
      <c r="G593" s="815"/>
      <c r="I593" s="335"/>
      <c r="J593" s="335"/>
      <c r="K593" s="335"/>
      <c r="L593" s="335"/>
      <c r="M593" s="335"/>
      <c r="N593" s="335"/>
      <c r="O593" s="335"/>
      <c r="P593" s="335"/>
    </row>
    <row r="594" spans="1:16" ht="21" customHeight="1">
      <c r="A594" s="356">
        <v>1</v>
      </c>
      <c r="B594" s="264" t="s">
        <v>1125</v>
      </c>
      <c r="C594" s="510">
        <v>427500.37</v>
      </c>
      <c r="D594" s="511">
        <v>22680</v>
      </c>
      <c r="E594" s="511">
        <f>C594*D594</f>
        <v>9695708391.6000004</v>
      </c>
      <c r="F594" s="512"/>
      <c r="G594" s="511"/>
      <c r="I594" s="335"/>
      <c r="J594" s="335"/>
      <c r="K594" s="335"/>
      <c r="L594" s="335"/>
      <c r="M594" s="335"/>
      <c r="N594" s="335"/>
      <c r="O594" s="335"/>
      <c r="P594" s="335"/>
    </row>
    <row r="595" spans="1:16" ht="21" customHeight="1">
      <c r="A595" s="356">
        <v>2</v>
      </c>
      <c r="B595" s="253" t="s">
        <v>123</v>
      </c>
      <c r="C595" s="309"/>
      <c r="D595" s="255"/>
      <c r="E595" s="255"/>
      <c r="F595" s="254">
        <v>2502500</v>
      </c>
      <c r="G595" s="255"/>
      <c r="I595" s="335"/>
      <c r="J595" s="335"/>
      <c r="K595" s="335"/>
      <c r="L595" s="335"/>
      <c r="M595" s="335"/>
      <c r="N595" s="335"/>
      <c r="O595" s="335"/>
      <c r="P595" s="335"/>
    </row>
    <row r="596" spans="1:16" ht="21" customHeight="1">
      <c r="A596" s="356">
        <v>3</v>
      </c>
      <c r="B596" s="256" t="s">
        <v>1128</v>
      </c>
      <c r="C596" s="263"/>
      <c r="D596" s="258"/>
      <c r="E596" s="258"/>
      <c r="F596" s="254">
        <f>15*13*49500</f>
        <v>9652500</v>
      </c>
      <c r="G596" s="255"/>
      <c r="I596" s="335"/>
      <c r="J596" s="335"/>
      <c r="K596" s="335"/>
      <c r="L596" s="335"/>
      <c r="M596" s="335"/>
      <c r="N596" s="335"/>
      <c r="O596" s="335"/>
      <c r="P596" s="335"/>
    </row>
    <row r="597" spans="1:16" ht="21" customHeight="1">
      <c r="A597" s="356">
        <v>4</v>
      </c>
      <c r="B597" s="256" t="s">
        <v>1126</v>
      </c>
      <c r="C597" s="263"/>
      <c r="D597" s="258"/>
      <c r="E597" s="258"/>
      <c r="F597" s="254">
        <f>G597*0.055%</f>
        <v>663040.95000000007</v>
      </c>
      <c r="G597" s="255">
        <v>1205529000</v>
      </c>
      <c r="I597" s="335"/>
      <c r="J597" s="335"/>
      <c r="K597" s="335"/>
      <c r="L597" s="335"/>
      <c r="M597" s="335"/>
      <c r="N597" s="335"/>
      <c r="O597" s="335"/>
      <c r="P597" s="335"/>
    </row>
    <row r="598" spans="1:16" ht="21" customHeight="1">
      <c r="A598" s="356">
        <v>5</v>
      </c>
      <c r="B598" s="256" t="s">
        <v>1127</v>
      </c>
      <c r="C598" s="263"/>
      <c r="D598" s="258"/>
      <c r="E598" s="258"/>
      <c r="F598" s="254">
        <f t="shared" ref="F598:F603" si="199">G598*0.055%</f>
        <v>491065.30000000005</v>
      </c>
      <c r="G598" s="255">
        <v>892846000</v>
      </c>
      <c r="I598" s="335"/>
      <c r="J598" s="335"/>
      <c r="K598" s="335"/>
      <c r="L598" s="335"/>
      <c r="M598" s="335"/>
      <c r="N598" s="335"/>
      <c r="O598" s="335"/>
      <c r="P598" s="335"/>
    </row>
    <row r="599" spans="1:16" ht="21" customHeight="1">
      <c r="A599" s="356">
        <v>6</v>
      </c>
      <c r="B599" s="256" t="s">
        <v>922</v>
      </c>
      <c r="C599" s="310"/>
      <c r="D599" s="255"/>
      <c r="E599" s="255"/>
      <c r="F599" s="254">
        <f t="shared" si="199"/>
        <v>440000</v>
      </c>
      <c r="G599" s="255">
        <v>800000000</v>
      </c>
      <c r="I599" s="335"/>
      <c r="J599" s="335"/>
      <c r="K599" s="335"/>
      <c r="L599" s="335"/>
      <c r="M599" s="335"/>
      <c r="N599" s="335"/>
      <c r="O599" s="335"/>
      <c r="P599" s="335"/>
    </row>
    <row r="600" spans="1:16" ht="21" customHeight="1">
      <c r="A600" s="356">
        <v>7</v>
      </c>
      <c r="B600" s="256" t="s">
        <v>890</v>
      </c>
      <c r="C600" s="263"/>
      <c r="D600" s="258"/>
      <c r="E600" s="258"/>
      <c r="F600" s="254">
        <f t="shared" si="199"/>
        <v>729750.45000000007</v>
      </c>
      <c r="G600" s="255">
        <v>1326819000</v>
      </c>
      <c r="I600" s="335"/>
      <c r="J600" s="335"/>
      <c r="K600" s="335"/>
      <c r="L600" s="335"/>
      <c r="M600" s="335"/>
      <c r="N600" s="335"/>
      <c r="O600" s="335"/>
      <c r="P600" s="335"/>
    </row>
    <row r="601" spans="1:16" ht="21" customHeight="1">
      <c r="A601" s="356">
        <v>8</v>
      </c>
      <c r="B601" s="256" t="s">
        <v>401</v>
      </c>
      <c r="C601" s="263"/>
      <c r="D601" s="258"/>
      <c r="E601" s="258"/>
      <c r="F601" s="254">
        <f t="shared" si="199"/>
        <v>670569.9</v>
      </c>
      <c r="G601" s="255">
        <v>1219218000</v>
      </c>
      <c r="I601" s="335"/>
      <c r="J601" s="335"/>
      <c r="K601" s="335"/>
      <c r="L601" s="335"/>
      <c r="M601" s="335"/>
      <c r="N601" s="335"/>
      <c r="O601" s="335"/>
      <c r="P601" s="335"/>
    </row>
    <row r="602" spans="1:16" ht="21" customHeight="1">
      <c r="A602" s="356">
        <v>9</v>
      </c>
      <c r="B602" s="256" t="s">
        <v>131</v>
      </c>
      <c r="C602" s="310"/>
      <c r="D602" s="255"/>
      <c r="E602" s="255"/>
      <c r="F602" s="254">
        <f t="shared" si="199"/>
        <v>972489.10000000009</v>
      </c>
      <c r="G602" s="255">
        <v>1768162000</v>
      </c>
      <c r="I602" s="335"/>
      <c r="J602" s="335"/>
      <c r="K602" s="335"/>
      <c r="L602" s="335"/>
      <c r="M602" s="335"/>
      <c r="N602" s="335"/>
      <c r="O602" s="335"/>
      <c r="P602" s="335"/>
    </row>
    <row r="603" spans="1:16" ht="21" customHeight="1">
      <c r="A603" s="356">
        <v>10</v>
      </c>
      <c r="B603" s="256" t="s">
        <v>56</v>
      </c>
      <c r="C603" s="263"/>
      <c r="D603" s="258"/>
      <c r="E603" s="258"/>
      <c r="F603" s="254">
        <f t="shared" si="199"/>
        <v>1356080</v>
      </c>
      <c r="G603" s="255">
        <v>2465600000</v>
      </c>
      <c r="I603" s="335"/>
      <c r="J603" s="335"/>
      <c r="K603" s="335"/>
      <c r="L603" s="335"/>
      <c r="M603" s="335"/>
      <c r="N603" s="335"/>
      <c r="O603" s="335"/>
      <c r="P603" s="335"/>
    </row>
    <row r="604" spans="1:16">
      <c r="A604" s="329"/>
      <c r="B604" s="329"/>
      <c r="C604" s="338"/>
      <c r="D604" s="258"/>
      <c r="E604" s="258"/>
      <c r="F604" s="339"/>
      <c r="G604" s="258"/>
      <c r="I604" s="335"/>
      <c r="J604" s="335"/>
      <c r="K604" s="335"/>
      <c r="L604" s="335"/>
      <c r="M604" s="335"/>
      <c r="N604" s="335"/>
      <c r="O604" s="335"/>
      <c r="P604" s="335"/>
    </row>
    <row r="605" spans="1:16">
      <c r="A605" s="376"/>
      <c r="B605" s="376" t="s">
        <v>57</v>
      </c>
      <c r="C605" s="262">
        <f>SUM(C594:C604)</f>
        <v>427500.37</v>
      </c>
      <c r="D605" s="378"/>
      <c r="E605" s="378">
        <f>SUM(E594:E604)</f>
        <v>9695708391.6000004</v>
      </c>
      <c r="F605" s="378">
        <f>SUM(F594:F604)</f>
        <v>17477995.699999999</v>
      </c>
      <c r="G605" s="378">
        <f>SUM(G594:G604)</f>
        <v>9678174000</v>
      </c>
      <c r="I605" s="335"/>
      <c r="J605" s="335"/>
      <c r="K605" s="335"/>
      <c r="L605" s="335"/>
      <c r="M605" s="335"/>
      <c r="N605" s="335"/>
      <c r="O605" s="335"/>
      <c r="P605" s="335"/>
    </row>
    <row r="606" spans="1:16">
      <c r="I606" s="335"/>
      <c r="J606" s="335"/>
      <c r="K606" s="335"/>
      <c r="L606" s="335"/>
      <c r="M606" s="335"/>
      <c r="N606" s="335"/>
      <c r="O606" s="335"/>
      <c r="P606" s="335"/>
    </row>
    <row r="607" spans="1:16" ht="15.75">
      <c r="B607" s="162" t="s">
        <v>749</v>
      </c>
      <c r="I607" s="335"/>
      <c r="J607" s="335"/>
      <c r="K607" s="335"/>
      <c r="L607" s="335"/>
      <c r="M607" s="335"/>
      <c r="N607" s="335"/>
      <c r="O607" s="335"/>
      <c r="P607" s="335"/>
    </row>
    <row r="608" spans="1:16">
      <c r="G608" s="342">
        <f>E605-F605-G605</f>
        <v>56395.89999961853</v>
      </c>
    </row>
    <row r="610" spans="1:16" ht="21" customHeight="1">
      <c r="A610" s="803" t="s">
        <v>0</v>
      </c>
      <c r="B610" s="803" t="s">
        <v>21</v>
      </c>
      <c r="C610" s="855" t="s">
        <v>50</v>
      </c>
      <c r="D610" s="815" t="s">
        <v>51</v>
      </c>
      <c r="E610" s="815" t="s">
        <v>9</v>
      </c>
      <c r="F610" s="815" t="s">
        <v>117</v>
      </c>
      <c r="G610" s="815" t="s">
        <v>52</v>
      </c>
      <c r="I610" s="335"/>
      <c r="J610" s="335"/>
      <c r="K610" s="335"/>
      <c r="L610" s="335"/>
      <c r="M610" s="335"/>
      <c r="N610" s="335"/>
      <c r="O610" s="335"/>
      <c r="P610" s="335"/>
    </row>
    <row r="611" spans="1:16" ht="21" customHeight="1">
      <c r="A611" s="803"/>
      <c r="B611" s="803"/>
      <c r="C611" s="855"/>
      <c r="D611" s="815"/>
      <c r="E611" s="815"/>
      <c r="F611" s="815"/>
      <c r="G611" s="815"/>
      <c r="I611" s="335"/>
      <c r="J611" s="335"/>
      <c r="K611" s="335"/>
      <c r="L611" s="335"/>
      <c r="M611" s="335"/>
      <c r="N611" s="335"/>
      <c r="O611" s="335"/>
      <c r="P611" s="335"/>
    </row>
    <row r="612" spans="1:16" ht="21" customHeight="1">
      <c r="A612" s="356">
        <v>1</v>
      </c>
      <c r="B612" s="264" t="s">
        <v>1129</v>
      </c>
      <c r="C612" s="510">
        <v>562089.56000000006</v>
      </c>
      <c r="D612" s="511">
        <v>22680</v>
      </c>
      <c r="E612" s="511">
        <f>C612*D612</f>
        <v>12748191220.800001</v>
      </c>
      <c r="F612" s="512"/>
      <c r="G612" s="511"/>
      <c r="I612" s="335"/>
      <c r="J612" s="335"/>
      <c r="K612" s="335"/>
      <c r="L612" s="335"/>
      <c r="M612" s="335"/>
      <c r="N612" s="335"/>
      <c r="O612" s="335"/>
      <c r="P612" s="335"/>
    </row>
    <row r="613" spans="1:16" ht="21" customHeight="1">
      <c r="A613" s="356">
        <v>2</v>
      </c>
      <c r="B613" s="253" t="s">
        <v>123</v>
      </c>
      <c r="C613" s="309"/>
      <c r="D613" s="255"/>
      <c r="E613" s="255"/>
      <c r="F613" s="254">
        <v>2502500</v>
      </c>
      <c r="G613" s="255"/>
      <c r="I613" s="335"/>
      <c r="J613" s="335"/>
      <c r="K613" s="335"/>
      <c r="L613" s="335"/>
      <c r="M613" s="335"/>
      <c r="N613" s="335"/>
      <c r="O613" s="335"/>
      <c r="P613" s="335"/>
    </row>
    <row r="614" spans="1:16" ht="21" customHeight="1">
      <c r="A614" s="356">
        <v>3</v>
      </c>
      <c r="B614" s="253" t="s">
        <v>1130</v>
      </c>
      <c r="C614" s="263"/>
      <c r="D614" s="258"/>
      <c r="E614" s="258"/>
      <c r="F614" s="254">
        <f>53000000*6</f>
        <v>318000000</v>
      </c>
      <c r="G614" s="255"/>
      <c r="I614" s="335"/>
      <c r="J614" s="335"/>
      <c r="K614" s="335"/>
      <c r="L614" s="335"/>
      <c r="M614" s="335"/>
      <c r="N614" s="335"/>
      <c r="O614" s="335"/>
      <c r="P614" s="335"/>
    </row>
    <row r="615" spans="1:16" ht="21" customHeight="1">
      <c r="A615" s="356">
        <v>4</v>
      </c>
      <c r="B615" s="256" t="s">
        <v>401</v>
      </c>
      <c r="C615" s="263"/>
      <c r="D615" s="258"/>
      <c r="E615" s="258"/>
      <c r="F615" s="254">
        <f>G615*0.055%</f>
        <v>1352851.5</v>
      </c>
      <c r="G615" s="255">
        <v>2459730000</v>
      </c>
      <c r="I615" s="335"/>
      <c r="J615" s="335"/>
      <c r="K615" s="335"/>
      <c r="L615" s="335"/>
      <c r="M615" s="335"/>
      <c r="N615" s="335"/>
      <c r="O615" s="335"/>
      <c r="P615" s="335"/>
    </row>
    <row r="616" spans="1:16" ht="21" customHeight="1">
      <c r="A616" s="356">
        <v>5</v>
      </c>
      <c r="B616" s="256" t="s">
        <v>400</v>
      </c>
      <c r="C616" s="263"/>
      <c r="D616" s="258"/>
      <c r="E616" s="258"/>
      <c r="F616" s="254">
        <f t="shared" ref="F616:F618" si="200">G616*0.055%</f>
        <v>674924.25</v>
      </c>
      <c r="G616" s="255">
        <v>1227135000</v>
      </c>
      <c r="I616" s="335"/>
      <c r="J616" s="335"/>
      <c r="K616" s="335"/>
      <c r="L616" s="335"/>
      <c r="M616" s="335"/>
      <c r="N616" s="335"/>
      <c r="O616" s="335"/>
      <c r="P616" s="335"/>
    </row>
    <row r="617" spans="1:16" ht="21" customHeight="1">
      <c r="A617" s="356">
        <v>6</v>
      </c>
      <c r="B617" s="256" t="s">
        <v>394</v>
      </c>
      <c r="C617" s="310"/>
      <c r="D617" s="255"/>
      <c r="E617" s="255"/>
      <c r="F617" s="254">
        <f t="shared" si="200"/>
        <v>3541970.5750000002</v>
      </c>
      <c r="G617" s="255">
        <v>6439946500</v>
      </c>
      <c r="I617" s="335"/>
      <c r="J617" s="335"/>
      <c r="K617" s="335"/>
      <c r="L617" s="335"/>
      <c r="M617" s="335"/>
      <c r="N617" s="335"/>
      <c r="O617" s="335"/>
      <c r="P617" s="335"/>
    </row>
    <row r="618" spans="1:16" ht="21" customHeight="1">
      <c r="A618" s="356">
        <v>7</v>
      </c>
      <c r="B618" s="256" t="s">
        <v>56</v>
      </c>
      <c r="C618" s="263"/>
      <c r="D618" s="258"/>
      <c r="E618" s="258"/>
      <c r="F618" s="254">
        <f t="shared" si="200"/>
        <v>1261727.5</v>
      </c>
      <c r="G618" s="255">
        <v>2294050000</v>
      </c>
      <c r="I618" s="335"/>
      <c r="J618" s="335"/>
      <c r="K618" s="335"/>
      <c r="L618" s="335"/>
      <c r="M618" s="335"/>
      <c r="N618" s="335"/>
      <c r="O618" s="335"/>
      <c r="P618" s="335"/>
    </row>
    <row r="619" spans="1:16">
      <c r="A619" s="329"/>
      <c r="B619" s="329"/>
      <c r="C619" s="338"/>
      <c r="D619" s="258"/>
      <c r="E619" s="258"/>
      <c r="F619" s="339"/>
      <c r="G619" s="258"/>
      <c r="I619" s="335"/>
      <c r="J619" s="335"/>
      <c r="K619" s="335"/>
      <c r="L619" s="335"/>
      <c r="M619" s="335"/>
      <c r="N619" s="335"/>
      <c r="O619" s="335"/>
      <c r="P619" s="335"/>
    </row>
    <row r="620" spans="1:16">
      <c r="A620" s="376"/>
      <c r="B620" s="376" t="s">
        <v>57</v>
      </c>
      <c r="C620" s="262">
        <f>SUM(C612:C619)</f>
        <v>562089.56000000006</v>
      </c>
      <c r="D620" s="378"/>
      <c r="E620" s="378">
        <f>SUM(E612:E619)</f>
        <v>12748191220.800001</v>
      </c>
      <c r="F620" s="378">
        <f>SUM(F612:F619)</f>
        <v>327333973.82499999</v>
      </c>
      <c r="G620" s="378">
        <f>SUM(G612:G619)</f>
        <v>12420861500</v>
      </c>
      <c r="I620" s="335"/>
      <c r="J620" s="335"/>
      <c r="K620" s="335"/>
      <c r="L620" s="335"/>
      <c r="M620" s="335"/>
      <c r="N620" s="335"/>
      <c r="O620" s="335"/>
      <c r="P620" s="335"/>
    </row>
    <row r="621" spans="1:16">
      <c r="I621" s="335"/>
      <c r="J621" s="335"/>
      <c r="K621" s="335"/>
      <c r="L621" s="335"/>
      <c r="M621" s="335"/>
      <c r="N621" s="335"/>
      <c r="O621" s="335"/>
      <c r="P621" s="335"/>
    </row>
    <row r="622" spans="1:16" ht="15.75">
      <c r="B622" s="162" t="s">
        <v>749</v>
      </c>
      <c r="I622" s="335"/>
      <c r="J622" s="335"/>
      <c r="K622" s="335"/>
      <c r="L622" s="335"/>
      <c r="M622" s="335"/>
      <c r="N622" s="335"/>
      <c r="O622" s="335"/>
      <c r="P622" s="335"/>
    </row>
    <row r="623" spans="1:16">
      <c r="G623" s="342">
        <f>E620-F620-G620</f>
        <v>-4253.0249996185303</v>
      </c>
    </row>
    <row r="628" spans="1:16" ht="21" customHeight="1">
      <c r="A628" s="803" t="s">
        <v>0</v>
      </c>
      <c r="B628" s="803" t="s">
        <v>21</v>
      </c>
      <c r="C628" s="855" t="s">
        <v>50</v>
      </c>
      <c r="D628" s="815" t="s">
        <v>51</v>
      </c>
      <c r="E628" s="815" t="s">
        <v>9</v>
      </c>
      <c r="F628" s="815" t="s">
        <v>117</v>
      </c>
      <c r="G628" s="815" t="s">
        <v>52</v>
      </c>
      <c r="I628" s="335"/>
      <c r="J628" s="335"/>
      <c r="K628" s="335"/>
      <c r="L628" s="335"/>
      <c r="M628" s="335"/>
      <c r="N628" s="335"/>
      <c r="O628" s="335"/>
      <c r="P628" s="335"/>
    </row>
    <row r="629" spans="1:16" ht="21" customHeight="1">
      <c r="A629" s="803"/>
      <c r="B629" s="803"/>
      <c r="C629" s="855"/>
      <c r="D629" s="815"/>
      <c r="E629" s="815"/>
      <c r="F629" s="815"/>
      <c r="G629" s="815"/>
      <c r="I629" s="335"/>
      <c r="J629" s="335"/>
      <c r="K629" s="335"/>
      <c r="L629" s="335"/>
      <c r="M629" s="335"/>
      <c r="N629" s="335"/>
      <c r="O629" s="335"/>
      <c r="P629" s="335"/>
    </row>
    <row r="630" spans="1:16" ht="21" customHeight="1">
      <c r="A630" s="356">
        <v>1</v>
      </c>
      <c r="B630" s="264" t="s">
        <v>1135</v>
      </c>
      <c r="C630" s="510">
        <v>517754.42</v>
      </c>
      <c r="D630" s="511">
        <v>22680</v>
      </c>
      <c r="E630" s="511">
        <f>C630*D630</f>
        <v>11742670245.6</v>
      </c>
      <c r="F630" s="512"/>
      <c r="G630" s="511"/>
      <c r="I630" s="335"/>
      <c r="J630" s="335"/>
      <c r="K630" s="335"/>
      <c r="L630" s="335"/>
      <c r="M630" s="335"/>
      <c r="N630" s="335"/>
      <c r="O630" s="335"/>
      <c r="P630" s="335"/>
    </row>
    <row r="631" spans="1:16" ht="21" customHeight="1">
      <c r="A631" s="356">
        <v>2</v>
      </c>
      <c r="B631" s="253" t="s">
        <v>123</v>
      </c>
      <c r="C631" s="309"/>
      <c r="D631" s="255"/>
      <c r="E631" s="255"/>
      <c r="F631" s="254">
        <v>2502500</v>
      </c>
      <c r="G631" s="255"/>
      <c r="I631" s="335"/>
      <c r="J631" s="335"/>
      <c r="K631" s="335"/>
      <c r="L631" s="335"/>
      <c r="M631" s="335"/>
      <c r="N631" s="335"/>
      <c r="O631" s="335"/>
      <c r="P631" s="335"/>
    </row>
    <row r="632" spans="1:16" ht="21" customHeight="1">
      <c r="A632" s="356">
        <v>4</v>
      </c>
      <c r="B632" s="256" t="s">
        <v>400</v>
      </c>
      <c r="C632" s="263"/>
      <c r="D632" s="258"/>
      <c r="E632" s="258"/>
      <c r="F632" s="254">
        <f>G632*0.055%</f>
        <v>817952.85000000009</v>
      </c>
      <c r="G632" s="255">
        <v>1487187000</v>
      </c>
      <c r="I632" s="335"/>
      <c r="J632" s="335"/>
      <c r="K632" s="335"/>
      <c r="L632" s="335"/>
      <c r="M632" s="335"/>
      <c r="N632" s="335"/>
      <c r="O632" s="335"/>
      <c r="P632" s="335"/>
    </row>
    <row r="633" spans="1:16" ht="21" customHeight="1">
      <c r="A633" s="356">
        <v>5</v>
      </c>
      <c r="B633" s="256" t="s">
        <v>397</v>
      </c>
      <c r="C633" s="263"/>
      <c r="D633" s="258"/>
      <c r="E633" s="258"/>
      <c r="F633" s="254">
        <f t="shared" ref="F633:F634" si="201">G633*0.055%</f>
        <v>674591.5</v>
      </c>
      <c r="G633" s="255">
        <v>1226530000</v>
      </c>
      <c r="I633" s="335"/>
      <c r="J633" s="335"/>
      <c r="K633" s="335"/>
      <c r="L633" s="335"/>
      <c r="M633" s="335"/>
      <c r="N633" s="335"/>
      <c r="O633" s="335"/>
      <c r="P633" s="335"/>
    </row>
    <row r="634" spans="1:16" ht="21" customHeight="1">
      <c r="A634" s="356">
        <v>6</v>
      </c>
      <c r="B634" s="256" t="s">
        <v>394</v>
      </c>
      <c r="C634" s="310"/>
      <c r="D634" s="255"/>
      <c r="E634" s="255"/>
      <c r="F634" s="254">
        <f t="shared" si="201"/>
        <v>617073.60000000009</v>
      </c>
      <c r="G634" s="255">
        <v>1121952000</v>
      </c>
      <c r="I634" s="335"/>
      <c r="J634" s="335"/>
      <c r="K634" s="335"/>
      <c r="L634" s="335"/>
      <c r="M634" s="335"/>
      <c r="N634" s="335"/>
      <c r="O634" s="335"/>
      <c r="P634" s="335"/>
    </row>
    <row r="635" spans="1:16" ht="21" customHeight="1">
      <c r="A635" s="356">
        <v>7</v>
      </c>
      <c r="B635" s="256" t="s">
        <v>56</v>
      </c>
      <c r="C635" s="263"/>
      <c r="D635" s="258"/>
      <c r="E635" s="258"/>
      <c r="F635" s="254">
        <v>2200000</v>
      </c>
      <c r="G635" s="255">
        <v>7900200000</v>
      </c>
      <c r="I635" s="335"/>
      <c r="J635" s="335"/>
      <c r="K635" s="335"/>
      <c r="L635" s="335"/>
      <c r="M635" s="335"/>
      <c r="N635" s="335"/>
      <c r="O635" s="335"/>
      <c r="P635" s="335"/>
    </row>
    <row r="636" spans="1:16">
      <c r="A636" s="329"/>
      <c r="B636" s="329"/>
      <c r="C636" s="338"/>
      <c r="D636" s="258"/>
      <c r="E636" s="258"/>
      <c r="F636" s="339"/>
      <c r="G636" s="258"/>
      <c r="I636" s="335"/>
      <c r="J636" s="335"/>
      <c r="K636" s="335"/>
      <c r="L636" s="335"/>
      <c r="M636" s="335"/>
      <c r="N636" s="335"/>
      <c r="O636" s="335"/>
      <c r="P636" s="335"/>
    </row>
    <row r="637" spans="1:16">
      <c r="A637" s="376"/>
      <c r="B637" s="376" t="s">
        <v>57</v>
      </c>
      <c r="C637" s="262">
        <f>SUM(C630:C636)</f>
        <v>517754.42</v>
      </c>
      <c r="D637" s="378"/>
      <c r="E637" s="378">
        <f>SUM(E630:E636)</f>
        <v>11742670245.6</v>
      </c>
      <c r="F637" s="378">
        <f>SUM(F630:F636)</f>
        <v>6812117.9500000002</v>
      </c>
      <c r="G637" s="378">
        <f>SUM(G630:G636)</f>
        <v>11735869000</v>
      </c>
      <c r="I637" s="335"/>
      <c r="J637" s="335"/>
      <c r="K637" s="335"/>
      <c r="L637" s="335"/>
      <c r="M637" s="335"/>
      <c r="N637" s="335"/>
      <c r="O637" s="335"/>
      <c r="P637" s="335"/>
    </row>
    <row r="638" spans="1:16">
      <c r="I638" s="335"/>
      <c r="J638" s="335"/>
      <c r="K638" s="335"/>
      <c r="L638" s="335"/>
      <c r="M638" s="335"/>
      <c r="N638" s="335"/>
      <c r="O638" s="335"/>
      <c r="P638" s="335"/>
    </row>
    <row r="639" spans="1:16" ht="15.75">
      <c r="B639" s="162" t="s">
        <v>749</v>
      </c>
      <c r="I639" s="335"/>
      <c r="J639" s="335"/>
      <c r="K639" s="335"/>
      <c r="L639" s="335"/>
      <c r="M639" s="335"/>
      <c r="N639" s="335"/>
      <c r="O639" s="335"/>
      <c r="P639" s="335"/>
    </row>
    <row r="640" spans="1:16">
      <c r="G640" s="342">
        <f>E637-F637-G637</f>
        <v>-10872.35000038147</v>
      </c>
    </row>
    <row r="643" spans="1:16" ht="21" customHeight="1">
      <c r="A643" s="803" t="s">
        <v>0</v>
      </c>
      <c r="B643" s="803" t="s">
        <v>21</v>
      </c>
      <c r="C643" s="855" t="s">
        <v>50</v>
      </c>
      <c r="D643" s="815" t="s">
        <v>51</v>
      </c>
      <c r="E643" s="815" t="s">
        <v>9</v>
      </c>
      <c r="F643" s="815" t="s">
        <v>117</v>
      </c>
      <c r="G643" s="815" t="s">
        <v>52</v>
      </c>
      <c r="I643" s="335"/>
      <c r="J643" s="335"/>
      <c r="K643" s="335"/>
      <c r="L643" s="335"/>
      <c r="M643" s="335"/>
      <c r="N643" s="335"/>
      <c r="O643" s="335"/>
      <c r="P643" s="335"/>
    </row>
    <row r="644" spans="1:16" ht="21" customHeight="1">
      <c r="A644" s="803"/>
      <c r="B644" s="803"/>
      <c r="C644" s="855"/>
      <c r="D644" s="815"/>
      <c r="E644" s="815"/>
      <c r="F644" s="815"/>
      <c r="G644" s="815"/>
      <c r="I644" s="335"/>
      <c r="J644" s="335"/>
      <c r="K644" s="335"/>
      <c r="L644" s="335"/>
      <c r="M644" s="335"/>
      <c r="N644" s="335"/>
      <c r="O644" s="335"/>
      <c r="P644" s="335"/>
    </row>
    <row r="645" spans="1:16" ht="21" customHeight="1">
      <c r="A645" s="356">
        <v>1</v>
      </c>
      <c r="B645" s="264" t="s">
        <v>1136</v>
      </c>
      <c r="C645" s="510">
        <v>510892.93</v>
      </c>
      <c r="D645" s="511">
        <v>22680</v>
      </c>
      <c r="E645" s="511">
        <f>C645*D645</f>
        <v>11587051652.4</v>
      </c>
      <c r="F645" s="512"/>
      <c r="G645" s="511"/>
      <c r="I645" s="335"/>
      <c r="J645" s="335"/>
      <c r="K645" s="335"/>
      <c r="L645" s="335"/>
      <c r="M645" s="335"/>
      <c r="N645" s="335"/>
      <c r="O645" s="335"/>
      <c r="P645" s="335"/>
    </row>
    <row r="646" spans="1:16" ht="21" customHeight="1">
      <c r="A646" s="356">
        <v>2</v>
      </c>
      <c r="B646" s="253" t="s">
        <v>123</v>
      </c>
      <c r="C646" s="309"/>
      <c r="D646" s="255"/>
      <c r="E646" s="255"/>
      <c r="F646" s="254">
        <v>2502500</v>
      </c>
      <c r="G646" s="255"/>
      <c r="I646" s="335"/>
      <c r="J646" s="335"/>
      <c r="K646" s="335"/>
      <c r="L646" s="335"/>
      <c r="M646" s="335"/>
      <c r="N646" s="335"/>
      <c r="O646" s="335"/>
      <c r="P646" s="335"/>
    </row>
    <row r="647" spans="1:16" ht="21" customHeight="1">
      <c r="A647" s="356">
        <v>4</v>
      </c>
      <c r="B647" s="256" t="s">
        <v>1137</v>
      </c>
      <c r="C647" s="263"/>
      <c r="D647" s="258"/>
      <c r="E647" s="258"/>
      <c r="F647" s="254">
        <v>2200000</v>
      </c>
      <c r="G647" s="255">
        <v>3800000000</v>
      </c>
      <c r="I647" s="335"/>
      <c r="J647" s="335"/>
      <c r="K647" s="335"/>
      <c r="L647" s="335"/>
      <c r="M647" s="335"/>
      <c r="N647" s="335"/>
      <c r="O647" s="335"/>
      <c r="P647" s="335"/>
    </row>
    <row r="648" spans="1:16" ht="21" customHeight="1">
      <c r="A648" s="356">
        <v>5</v>
      </c>
      <c r="B648" s="256" t="s">
        <v>744</v>
      </c>
      <c r="C648" s="263"/>
      <c r="D648" s="258"/>
      <c r="E648" s="258"/>
      <c r="F648" s="254">
        <v>2200000</v>
      </c>
      <c r="G648" s="255">
        <v>4200000000</v>
      </c>
      <c r="I648" s="335"/>
      <c r="J648" s="335"/>
      <c r="K648" s="335"/>
      <c r="L648" s="335"/>
      <c r="M648" s="335"/>
      <c r="N648" s="335"/>
      <c r="O648" s="335"/>
      <c r="P648" s="335"/>
    </row>
    <row r="649" spans="1:16" ht="21" customHeight="1">
      <c r="A649" s="356">
        <v>7</v>
      </c>
      <c r="B649" s="256" t="s">
        <v>56</v>
      </c>
      <c r="C649" s="263"/>
      <c r="D649" s="258"/>
      <c r="E649" s="258"/>
      <c r="F649" s="254">
        <v>2200000</v>
      </c>
      <c r="G649" s="255">
        <v>3577949000</v>
      </c>
      <c r="I649" s="335"/>
      <c r="J649" s="335"/>
      <c r="K649" s="335"/>
      <c r="L649" s="335"/>
      <c r="M649" s="335"/>
      <c r="N649" s="335"/>
      <c r="O649" s="335"/>
      <c r="P649" s="335"/>
    </row>
    <row r="650" spans="1:16">
      <c r="A650" s="329"/>
      <c r="B650" s="329"/>
      <c r="C650" s="338"/>
      <c r="D650" s="258"/>
      <c r="E650" s="258"/>
      <c r="F650" s="339"/>
      <c r="G650" s="258"/>
      <c r="I650" s="335"/>
      <c r="J650" s="335"/>
      <c r="K650" s="335"/>
      <c r="L650" s="335"/>
      <c r="M650" s="335"/>
      <c r="N650" s="335"/>
      <c r="O650" s="335"/>
      <c r="P650" s="335"/>
    </row>
    <row r="651" spans="1:16">
      <c r="A651" s="376"/>
      <c r="B651" s="376" t="s">
        <v>57</v>
      </c>
      <c r="C651" s="262">
        <f>SUM(C645:C650)</f>
        <v>510892.93</v>
      </c>
      <c r="D651" s="378"/>
      <c r="E651" s="378">
        <f>SUM(E645:E650)</f>
        <v>11587051652.4</v>
      </c>
      <c r="F651" s="378">
        <f>SUM(F645:F650)</f>
        <v>9102500</v>
      </c>
      <c r="G651" s="378">
        <f>SUM(G645:G650)</f>
        <v>11577949000</v>
      </c>
      <c r="I651" s="335"/>
      <c r="J651" s="335"/>
      <c r="K651" s="335"/>
      <c r="L651" s="335"/>
      <c r="M651" s="335"/>
      <c r="N651" s="335"/>
      <c r="O651" s="335"/>
      <c r="P651" s="335"/>
    </row>
    <row r="652" spans="1:16">
      <c r="I652" s="335"/>
      <c r="J652" s="335"/>
      <c r="K652" s="335"/>
      <c r="L652" s="335"/>
      <c r="M652" s="335"/>
      <c r="N652" s="335"/>
      <c r="O652" s="335"/>
      <c r="P652" s="335"/>
    </row>
    <row r="653" spans="1:16" ht="15.75">
      <c r="B653" s="162" t="s">
        <v>749</v>
      </c>
      <c r="I653" s="335"/>
      <c r="J653" s="335"/>
      <c r="K653" s="335"/>
      <c r="L653" s="335"/>
      <c r="M653" s="335"/>
      <c r="N653" s="335"/>
      <c r="O653" s="335"/>
      <c r="P653" s="335"/>
    </row>
    <row r="654" spans="1:16">
      <c r="G654" s="342">
        <f>E651-F651-G651</f>
        <v>152.39999961853027</v>
      </c>
    </row>
    <row r="656" spans="1:16" ht="21" customHeight="1">
      <c r="A656" s="803" t="s">
        <v>0</v>
      </c>
      <c r="B656" s="803" t="s">
        <v>21</v>
      </c>
      <c r="C656" s="855" t="s">
        <v>50</v>
      </c>
      <c r="D656" s="815" t="s">
        <v>51</v>
      </c>
      <c r="E656" s="815" t="s">
        <v>9</v>
      </c>
      <c r="F656" s="815" t="s">
        <v>117</v>
      </c>
      <c r="G656" s="815" t="s">
        <v>52</v>
      </c>
      <c r="I656" s="335"/>
      <c r="J656" s="335"/>
      <c r="K656" s="335"/>
      <c r="L656" s="335"/>
      <c r="M656" s="335"/>
      <c r="N656" s="335"/>
      <c r="O656" s="335"/>
      <c r="P656" s="335"/>
    </row>
    <row r="657" spans="1:16" ht="21" customHeight="1">
      <c r="A657" s="803"/>
      <c r="B657" s="803"/>
      <c r="C657" s="855"/>
      <c r="D657" s="815"/>
      <c r="E657" s="815"/>
      <c r="F657" s="815"/>
      <c r="G657" s="815"/>
      <c r="I657" s="335"/>
      <c r="J657" s="335"/>
      <c r="K657" s="335"/>
      <c r="L657" s="335"/>
      <c r="M657" s="335"/>
      <c r="N657" s="335"/>
      <c r="O657" s="335"/>
      <c r="P657" s="335"/>
    </row>
    <row r="658" spans="1:16" ht="21" customHeight="1">
      <c r="A658" s="356">
        <v>1</v>
      </c>
      <c r="B658" s="264" t="s">
        <v>1153</v>
      </c>
      <c r="C658" s="510">
        <v>387933</v>
      </c>
      <c r="D658" s="511">
        <v>22690</v>
      </c>
      <c r="E658" s="511">
        <f>C658*D658</f>
        <v>8802199770</v>
      </c>
      <c r="F658" s="512"/>
      <c r="G658" s="511"/>
      <c r="I658" s="335"/>
      <c r="J658" s="335"/>
      <c r="K658" s="335"/>
      <c r="L658" s="335"/>
      <c r="M658" s="335"/>
      <c r="N658" s="335"/>
      <c r="O658" s="335"/>
      <c r="P658" s="335"/>
    </row>
    <row r="659" spans="1:16" ht="21" customHeight="1">
      <c r="A659" s="356">
        <v>2</v>
      </c>
      <c r="B659" s="253" t="s">
        <v>123</v>
      </c>
      <c r="C659" s="309">
        <v>-220</v>
      </c>
      <c r="D659" s="255"/>
      <c r="E659" s="255"/>
      <c r="F659" s="254">
        <f>-C659*D658</f>
        <v>4991800</v>
      </c>
      <c r="G659" s="255"/>
      <c r="I659" s="335"/>
      <c r="J659" s="335"/>
      <c r="K659" s="335"/>
      <c r="L659" s="335"/>
      <c r="M659" s="335"/>
      <c r="N659" s="335"/>
      <c r="O659" s="335"/>
      <c r="P659" s="335"/>
    </row>
    <row r="660" spans="1:16" ht="21" customHeight="1">
      <c r="A660" s="356">
        <v>3</v>
      </c>
      <c r="B660" s="253" t="s">
        <v>1154</v>
      </c>
      <c r="C660" s="263"/>
      <c r="D660" s="258"/>
      <c r="E660" s="258"/>
      <c r="F660" s="254">
        <f>53000000*6</f>
        <v>318000000</v>
      </c>
      <c r="G660" s="255"/>
      <c r="I660" s="335"/>
      <c r="J660" s="335"/>
      <c r="K660" s="335"/>
      <c r="L660" s="335"/>
      <c r="M660" s="335"/>
      <c r="N660" s="335"/>
      <c r="O660" s="335"/>
      <c r="P660" s="335"/>
    </row>
    <row r="661" spans="1:16" ht="21" customHeight="1">
      <c r="A661" s="356">
        <v>4</v>
      </c>
      <c r="B661" s="256" t="s">
        <v>1137</v>
      </c>
      <c r="C661" s="263"/>
      <c r="D661" s="258"/>
      <c r="E661" s="258"/>
      <c r="F661" s="254">
        <v>2200000</v>
      </c>
      <c r="G661" s="255">
        <v>3200000000</v>
      </c>
      <c r="I661" s="335"/>
      <c r="J661" s="335"/>
      <c r="K661" s="335"/>
      <c r="L661" s="335"/>
      <c r="M661" s="335"/>
      <c r="N661" s="335"/>
      <c r="O661" s="335"/>
      <c r="P661" s="335"/>
    </row>
    <row r="662" spans="1:16" ht="21" customHeight="1">
      <c r="A662" s="356">
        <v>5</v>
      </c>
      <c r="B662" s="256" t="s">
        <v>744</v>
      </c>
      <c r="C662" s="263"/>
      <c r="D662" s="258"/>
      <c r="E662" s="258"/>
      <c r="F662" s="254">
        <v>2200000</v>
      </c>
      <c r="G662" s="255">
        <v>2800000000</v>
      </c>
      <c r="I662" s="335"/>
      <c r="J662" s="335"/>
      <c r="K662" s="335"/>
      <c r="L662" s="335"/>
      <c r="M662" s="335"/>
      <c r="N662" s="335"/>
      <c r="O662" s="335"/>
      <c r="P662" s="335"/>
    </row>
    <row r="663" spans="1:16" ht="21" customHeight="1">
      <c r="A663" s="356">
        <v>6</v>
      </c>
      <c r="B663" s="256" t="s">
        <v>56</v>
      </c>
      <c r="C663" s="263"/>
      <c r="D663" s="258"/>
      <c r="E663" s="258"/>
      <c r="F663" s="254">
        <v>2200000</v>
      </c>
      <c r="G663" s="255">
        <v>2472600000</v>
      </c>
      <c r="I663" s="335"/>
      <c r="J663" s="335"/>
      <c r="K663" s="335"/>
      <c r="L663" s="335"/>
      <c r="M663" s="335"/>
      <c r="N663" s="335"/>
      <c r="O663" s="335"/>
      <c r="P663" s="335"/>
    </row>
    <row r="664" spans="1:16">
      <c r="A664" s="329"/>
      <c r="B664" s="329"/>
      <c r="C664" s="338"/>
      <c r="D664" s="258"/>
      <c r="E664" s="258"/>
      <c r="F664" s="339"/>
      <c r="G664" s="258"/>
      <c r="I664" s="335"/>
      <c r="J664" s="335"/>
      <c r="K664" s="335"/>
      <c r="L664" s="335"/>
      <c r="M664" s="335"/>
      <c r="N664" s="335"/>
      <c r="O664" s="335"/>
      <c r="P664" s="335"/>
    </row>
    <row r="665" spans="1:16">
      <c r="A665" s="376"/>
      <c r="B665" s="376" t="s">
        <v>57</v>
      </c>
      <c r="C665" s="262">
        <f>SUM(C658:C664)</f>
        <v>387713</v>
      </c>
      <c r="D665" s="378"/>
      <c r="E665" s="378">
        <f>SUM(E658:E664)</f>
        <v>8802199770</v>
      </c>
      <c r="F665" s="378">
        <f>SUM(F658:F664)</f>
        <v>329591800</v>
      </c>
      <c r="G665" s="378">
        <f>SUM(G658:G664)</f>
        <v>8472600000</v>
      </c>
      <c r="I665" s="335"/>
      <c r="J665" s="335"/>
      <c r="K665" s="335"/>
      <c r="L665" s="335"/>
      <c r="M665" s="335"/>
      <c r="N665" s="335"/>
      <c r="O665" s="335"/>
      <c r="P665" s="335"/>
    </row>
    <row r="666" spans="1:16">
      <c r="I666" s="335"/>
      <c r="J666" s="335"/>
      <c r="K666" s="335"/>
      <c r="L666" s="335"/>
      <c r="M666" s="335"/>
      <c r="N666" s="335"/>
      <c r="O666" s="335"/>
      <c r="P666" s="335"/>
    </row>
    <row r="667" spans="1:16" ht="15.75">
      <c r="B667" s="162" t="s">
        <v>749</v>
      </c>
      <c r="I667" s="335"/>
      <c r="J667" s="335"/>
      <c r="K667" s="335"/>
      <c r="L667" s="335"/>
      <c r="M667" s="335"/>
      <c r="N667" s="335"/>
      <c r="O667" s="335"/>
      <c r="P667" s="335"/>
    </row>
    <row r="668" spans="1:16">
      <c r="G668" s="342">
        <f>E665-F665-G665</f>
        <v>7970</v>
      </c>
    </row>
    <row r="672" spans="1:16" ht="21" customHeight="1">
      <c r="A672" s="803" t="s">
        <v>0</v>
      </c>
      <c r="B672" s="803" t="s">
        <v>21</v>
      </c>
      <c r="C672" s="855" t="s">
        <v>50</v>
      </c>
      <c r="D672" s="815" t="s">
        <v>51</v>
      </c>
      <c r="E672" s="815" t="s">
        <v>9</v>
      </c>
      <c r="F672" s="815" t="s">
        <v>117</v>
      </c>
      <c r="G672" s="815" t="s">
        <v>52</v>
      </c>
      <c r="I672" s="335"/>
      <c r="J672" s="335"/>
      <c r="K672" s="335"/>
      <c r="L672" s="335"/>
      <c r="M672" s="335"/>
      <c r="N672" s="335"/>
      <c r="O672" s="335"/>
      <c r="P672" s="335"/>
    </row>
    <row r="673" spans="1:16" ht="21" customHeight="1">
      <c r="A673" s="803"/>
      <c r="B673" s="803"/>
      <c r="C673" s="855"/>
      <c r="D673" s="815"/>
      <c r="E673" s="815"/>
      <c r="F673" s="815"/>
      <c r="G673" s="815"/>
      <c r="I673" s="335"/>
      <c r="J673" s="335"/>
      <c r="K673" s="335"/>
      <c r="L673" s="335"/>
      <c r="M673" s="335"/>
      <c r="N673" s="335"/>
      <c r="O673" s="335"/>
      <c r="P673" s="335"/>
    </row>
    <row r="674" spans="1:16" ht="21" customHeight="1">
      <c r="A674" s="356">
        <v>1</v>
      </c>
      <c r="B674" s="264" t="s">
        <v>1157</v>
      </c>
      <c r="C674" s="510">
        <v>628271.4</v>
      </c>
      <c r="D674" s="511">
        <v>22695</v>
      </c>
      <c r="E674" s="511">
        <f>C674*D674</f>
        <v>14258619423</v>
      </c>
      <c r="F674" s="512"/>
      <c r="G674" s="511"/>
      <c r="I674" s="335"/>
      <c r="J674" s="335"/>
      <c r="K674" s="335"/>
      <c r="L674" s="335"/>
      <c r="M674" s="335"/>
      <c r="N674" s="335"/>
      <c r="O674" s="335"/>
      <c r="P674" s="335"/>
    </row>
    <row r="675" spans="1:16" ht="21" customHeight="1">
      <c r="A675" s="356">
        <v>2</v>
      </c>
      <c r="B675" s="253" t="s">
        <v>123</v>
      </c>
      <c r="C675" s="309">
        <v>-220</v>
      </c>
      <c r="D675" s="255"/>
      <c r="E675" s="255"/>
      <c r="F675" s="254">
        <f>-C675*D674</f>
        <v>4992900</v>
      </c>
      <c r="G675" s="255"/>
      <c r="I675" s="335"/>
      <c r="J675" s="335"/>
      <c r="K675" s="335"/>
      <c r="L675" s="335"/>
      <c r="M675" s="335"/>
      <c r="N675" s="335"/>
      <c r="O675" s="335"/>
      <c r="P675" s="335"/>
    </row>
    <row r="676" spans="1:16" ht="21" customHeight="1">
      <c r="A676" s="680">
        <v>3</v>
      </c>
      <c r="B676" s="256" t="s">
        <v>1137</v>
      </c>
      <c r="C676" s="263"/>
      <c r="D676" s="258"/>
      <c r="E676" s="258"/>
      <c r="F676" s="254">
        <v>2200000</v>
      </c>
      <c r="G676" s="255">
        <v>3200000000</v>
      </c>
      <c r="I676" s="335"/>
      <c r="J676" s="335"/>
      <c r="K676" s="335"/>
      <c r="L676" s="335"/>
      <c r="M676" s="335"/>
      <c r="N676" s="335"/>
      <c r="O676" s="335"/>
      <c r="P676" s="335"/>
    </row>
    <row r="677" spans="1:16" ht="21" customHeight="1">
      <c r="A677" s="680">
        <v>4</v>
      </c>
      <c r="B677" s="256" t="s">
        <v>744</v>
      </c>
      <c r="C677" s="263"/>
      <c r="D677" s="258"/>
      <c r="E677" s="258"/>
      <c r="F677" s="254">
        <v>2200000</v>
      </c>
      <c r="G677" s="255">
        <v>3800000000</v>
      </c>
      <c r="I677" s="335"/>
      <c r="J677" s="335"/>
      <c r="K677" s="335"/>
      <c r="L677" s="335"/>
      <c r="M677" s="335"/>
      <c r="N677" s="335"/>
      <c r="O677" s="335"/>
      <c r="P677" s="335"/>
    </row>
    <row r="678" spans="1:16" ht="21" customHeight="1">
      <c r="A678" s="680">
        <v>5</v>
      </c>
      <c r="B678" s="256" t="s">
        <v>888</v>
      </c>
      <c r="C678" s="263"/>
      <c r="D678" s="258"/>
      <c r="E678" s="258"/>
      <c r="F678" s="254">
        <v>1100000</v>
      </c>
      <c r="G678" s="255">
        <v>4200000000</v>
      </c>
      <c r="I678" s="335"/>
      <c r="J678" s="335"/>
      <c r="K678" s="335"/>
      <c r="L678" s="335"/>
      <c r="M678" s="335"/>
      <c r="N678" s="335"/>
      <c r="O678" s="335"/>
      <c r="P678" s="335"/>
    </row>
    <row r="679" spans="1:16" ht="21" customHeight="1">
      <c r="A679" s="680">
        <v>6</v>
      </c>
      <c r="B679" s="256" t="s">
        <v>56</v>
      </c>
      <c r="C679" s="263"/>
      <c r="D679" s="258"/>
      <c r="E679" s="258"/>
      <c r="F679" s="254">
        <v>2200000</v>
      </c>
      <c r="G679" s="255">
        <v>3045930000</v>
      </c>
      <c r="I679" s="335"/>
      <c r="J679" s="335"/>
      <c r="K679" s="335"/>
      <c r="L679" s="335"/>
      <c r="M679" s="335"/>
      <c r="N679" s="335"/>
      <c r="O679" s="335"/>
      <c r="P679" s="335"/>
    </row>
    <row r="680" spans="1:16">
      <c r="A680" s="329"/>
      <c r="B680" s="329"/>
      <c r="C680" s="338"/>
      <c r="D680" s="258"/>
      <c r="E680" s="258"/>
      <c r="F680" s="339"/>
      <c r="G680" s="258"/>
      <c r="I680" s="335"/>
      <c r="J680" s="335"/>
      <c r="K680" s="335"/>
      <c r="L680" s="335"/>
      <c r="M680" s="335"/>
      <c r="N680" s="335"/>
      <c r="O680" s="335"/>
      <c r="P680" s="335"/>
    </row>
    <row r="681" spans="1:16">
      <c r="A681" s="376"/>
      <c r="B681" s="376" t="s">
        <v>57</v>
      </c>
      <c r="C681" s="262">
        <f>SUM(C674:C680)</f>
        <v>628051.4</v>
      </c>
      <c r="D681" s="378"/>
      <c r="E681" s="378">
        <f>SUM(E674:E680)</f>
        <v>14258619423</v>
      </c>
      <c r="F681" s="378">
        <f>SUM(F674:F680)</f>
        <v>12692900</v>
      </c>
      <c r="G681" s="378">
        <f>SUM(G674:G680)</f>
        <v>14245930000</v>
      </c>
      <c r="I681" s="335"/>
      <c r="J681" s="335"/>
      <c r="K681" s="335"/>
      <c r="L681" s="335"/>
      <c r="M681" s="335"/>
      <c r="N681" s="335"/>
      <c r="O681" s="335"/>
      <c r="P681" s="335"/>
    </row>
    <row r="682" spans="1:16">
      <c r="I682" s="335"/>
      <c r="J682" s="335"/>
      <c r="K682" s="335"/>
      <c r="L682" s="335"/>
      <c r="M682" s="335"/>
      <c r="N682" s="335"/>
      <c r="O682" s="335"/>
      <c r="P682" s="335"/>
    </row>
    <row r="683" spans="1:16" ht="15.75">
      <c r="B683" s="162" t="s">
        <v>749</v>
      </c>
      <c r="I683" s="335"/>
      <c r="J683" s="335"/>
      <c r="K683" s="335"/>
      <c r="L683" s="335"/>
      <c r="M683" s="335"/>
      <c r="N683" s="335"/>
      <c r="O683" s="335"/>
      <c r="P683" s="335"/>
    </row>
    <row r="684" spans="1:16">
      <c r="G684" s="342">
        <f>E681-F681-G681</f>
        <v>-3477</v>
      </c>
    </row>
    <row r="686" spans="1:16" ht="21" customHeight="1">
      <c r="A686" s="803" t="s">
        <v>0</v>
      </c>
      <c r="B686" s="803" t="s">
        <v>21</v>
      </c>
      <c r="C686" s="855" t="s">
        <v>50</v>
      </c>
      <c r="D686" s="815" t="s">
        <v>51</v>
      </c>
      <c r="E686" s="815" t="s">
        <v>9</v>
      </c>
      <c r="F686" s="815" t="s">
        <v>117</v>
      </c>
      <c r="G686" s="815" t="s">
        <v>52</v>
      </c>
      <c r="I686" s="335"/>
      <c r="J686" s="335"/>
      <c r="K686" s="335"/>
      <c r="L686" s="335"/>
      <c r="M686" s="335"/>
      <c r="N686" s="335"/>
      <c r="O686" s="335"/>
      <c r="P686" s="335"/>
    </row>
    <row r="687" spans="1:16" ht="21" customHeight="1">
      <c r="A687" s="803"/>
      <c r="B687" s="803"/>
      <c r="C687" s="855"/>
      <c r="D687" s="815"/>
      <c r="E687" s="815"/>
      <c r="F687" s="815"/>
      <c r="G687" s="815"/>
      <c r="I687" s="335"/>
      <c r="J687" s="335"/>
      <c r="K687" s="335"/>
      <c r="L687" s="335"/>
      <c r="M687" s="335"/>
      <c r="N687" s="335"/>
      <c r="O687" s="335"/>
      <c r="P687" s="335"/>
    </row>
    <row r="688" spans="1:16" ht="21" customHeight="1">
      <c r="A688" s="690">
        <v>1</v>
      </c>
      <c r="B688" s="264" t="s">
        <v>1164</v>
      </c>
      <c r="C688" s="510">
        <v>722030.4</v>
      </c>
      <c r="D688" s="511">
        <v>22695</v>
      </c>
      <c r="E688" s="511">
        <f>C688*D688</f>
        <v>16386479928</v>
      </c>
      <c r="F688" s="512"/>
      <c r="G688" s="511"/>
      <c r="I688" s="335"/>
      <c r="J688" s="335"/>
      <c r="K688" s="335"/>
      <c r="L688" s="335"/>
      <c r="M688" s="335"/>
      <c r="N688" s="335"/>
      <c r="O688" s="335"/>
      <c r="P688" s="335"/>
    </row>
    <row r="689" spans="1:16" ht="21" customHeight="1">
      <c r="A689" s="690">
        <v>2</v>
      </c>
      <c r="B689" s="253" t="s">
        <v>123</v>
      </c>
      <c r="C689" s="309">
        <v>-220</v>
      </c>
      <c r="D689" s="255"/>
      <c r="E689" s="255"/>
      <c r="F689" s="254">
        <f>-C689*D688</f>
        <v>4992900</v>
      </c>
      <c r="G689" s="255"/>
      <c r="I689" s="335"/>
      <c r="J689" s="335"/>
      <c r="K689" s="335"/>
      <c r="L689" s="335"/>
      <c r="M689" s="335"/>
      <c r="N689" s="335"/>
      <c r="O689" s="335"/>
      <c r="P689" s="335"/>
    </row>
    <row r="690" spans="1:16" ht="21" customHeight="1">
      <c r="A690" s="690">
        <v>3</v>
      </c>
      <c r="B690" s="253" t="s">
        <v>1165</v>
      </c>
      <c r="C690" s="263"/>
      <c r="D690" s="258"/>
      <c r="E690" s="258"/>
      <c r="F690" s="254">
        <f>53000000*2</f>
        <v>106000000</v>
      </c>
      <c r="G690" s="255"/>
      <c r="I690" s="335"/>
      <c r="J690" s="335"/>
      <c r="K690" s="335"/>
      <c r="L690" s="335"/>
      <c r="M690" s="335"/>
      <c r="N690" s="335"/>
      <c r="O690" s="335"/>
      <c r="P690" s="335"/>
    </row>
    <row r="691" spans="1:16" ht="21" customHeight="1">
      <c r="A691" s="690">
        <v>4</v>
      </c>
      <c r="B691" s="256" t="s">
        <v>394</v>
      </c>
      <c r="C691" s="263"/>
      <c r="D691" s="258"/>
      <c r="E691" s="258"/>
      <c r="F691" s="254">
        <v>2200000</v>
      </c>
      <c r="G691" s="255">
        <v>2427880000</v>
      </c>
      <c r="I691" s="335"/>
      <c r="J691" s="335"/>
      <c r="K691" s="335"/>
      <c r="L691" s="335"/>
      <c r="M691" s="335"/>
      <c r="N691" s="335"/>
      <c r="O691" s="335"/>
      <c r="P691" s="335"/>
    </row>
    <row r="692" spans="1:16" ht="21" customHeight="1">
      <c r="A692" s="690">
        <v>5</v>
      </c>
      <c r="B692" s="256" t="s">
        <v>744</v>
      </c>
      <c r="C692" s="263"/>
      <c r="D692" s="258"/>
      <c r="E692" s="258"/>
      <c r="F692" s="254">
        <v>2200000</v>
      </c>
      <c r="G692" s="255">
        <v>4300000000</v>
      </c>
      <c r="I692" s="335"/>
      <c r="J692" s="335"/>
      <c r="K692" s="335"/>
      <c r="L692" s="335"/>
      <c r="M692" s="335"/>
      <c r="N692" s="335"/>
      <c r="O692" s="335"/>
      <c r="P692" s="335"/>
    </row>
    <row r="693" spans="1:16" ht="21" customHeight="1">
      <c r="A693" s="690">
        <v>6</v>
      </c>
      <c r="B693" s="256" t="s">
        <v>1137</v>
      </c>
      <c r="C693" s="263"/>
      <c r="D693" s="258"/>
      <c r="E693" s="258"/>
      <c r="F693" s="254">
        <v>2200000</v>
      </c>
      <c r="G693" s="255">
        <v>3700000000</v>
      </c>
      <c r="I693" s="335"/>
      <c r="J693" s="335"/>
      <c r="K693" s="335"/>
      <c r="L693" s="335"/>
      <c r="M693" s="335"/>
      <c r="N693" s="335"/>
      <c r="O693" s="335"/>
      <c r="P693" s="335"/>
    </row>
    <row r="694" spans="1:16" ht="21" customHeight="1">
      <c r="A694" s="690">
        <v>7</v>
      </c>
      <c r="B694" s="256" t="s">
        <v>888</v>
      </c>
      <c r="C694" s="263"/>
      <c r="D694" s="258"/>
      <c r="E694" s="258"/>
      <c r="F694" s="254">
        <v>2200000</v>
      </c>
      <c r="G694" s="255">
        <v>3800000000</v>
      </c>
      <c r="I694" s="335"/>
      <c r="J694" s="335"/>
      <c r="K694" s="335"/>
      <c r="L694" s="335"/>
      <c r="M694" s="335"/>
      <c r="N694" s="335"/>
      <c r="O694" s="335"/>
      <c r="P694" s="335"/>
    </row>
    <row r="695" spans="1:16" ht="21" customHeight="1">
      <c r="A695" s="690">
        <v>8</v>
      </c>
      <c r="B695" s="256" t="s">
        <v>56</v>
      </c>
      <c r="C695" s="263"/>
      <c r="D695" s="258"/>
      <c r="E695" s="258"/>
      <c r="F695" s="254">
        <v>2200000</v>
      </c>
      <c r="G695" s="255">
        <v>2036600000</v>
      </c>
      <c r="I695" s="335"/>
      <c r="J695" s="335"/>
      <c r="K695" s="335"/>
      <c r="L695" s="335"/>
      <c r="M695" s="335"/>
      <c r="N695" s="335"/>
      <c r="O695" s="335"/>
      <c r="P695" s="335"/>
    </row>
    <row r="696" spans="1:16">
      <c r="A696" s="329"/>
      <c r="B696" s="329"/>
      <c r="C696" s="338"/>
      <c r="D696" s="258"/>
      <c r="E696" s="258"/>
      <c r="F696" s="339"/>
      <c r="G696" s="258"/>
      <c r="I696" s="335"/>
      <c r="J696" s="335"/>
      <c r="K696" s="335"/>
      <c r="L696" s="335"/>
      <c r="M696" s="335"/>
      <c r="N696" s="335"/>
      <c r="O696" s="335"/>
      <c r="P696" s="335"/>
    </row>
    <row r="697" spans="1:16">
      <c r="A697" s="376"/>
      <c r="B697" s="376" t="s">
        <v>57</v>
      </c>
      <c r="C697" s="262">
        <f>SUM(C688:C696)</f>
        <v>721810.4</v>
      </c>
      <c r="D697" s="378"/>
      <c r="E697" s="378">
        <f>SUM(E688:E696)</f>
        <v>16386479928</v>
      </c>
      <c r="F697" s="378">
        <f>SUM(F688:F696)</f>
        <v>121992900</v>
      </c>
      <c r="G697" s="378">
        <f>SUM(G688:G696)</f>
        <v>16264480000</v>
      </c>
      <c r="I697" s="335"/>
      <c r="J697" s="335"/>
      <c r="K697" s="335"/>
      <c r="L697" s="335"/>
      <c r="M697" s="335"/>
      <c r="N697" s="335"/>
      <c r="O697" s="335"/>
      <c r="P697" s="335"/>
    </row>
    <row r="698" spans="1:16">
      <c r="I698" s="335"/>
      <c r="J698" s="335"/>
      <c r="K698" s="335"/>
      <c r="L698" s="335"/>
      <c r="M698" s="335"/>
      <c r="N698" s="335"/>
      <c r="O698" s="335"/>
      <c r="P698" s="335"/>
    </row>
    <row r="699" spans="1:16" ht="15.75">
      <c r="B699" s="162" t="s">
        <v>749</v>
      </c>
      <c r="I699" s="335"/>
      <c r="J699" s="335"/>
      <c r="K699" s="335"/>
      <c r="L699" s="335"/>
      <c r="M699" s="335"/>
      <c r="N699" s="335"/>
      <c r="O699" s="335"/>
      <c r="P699" s="335"/>
    </row>
    <row r="700" spans="1:16">
      <c r="G700" s="342">
        <f>E697-F697-G697</f>
        <v>7028</v>
      </c>
    </row>
    <row r="703" spans="1:16" ht="21" customHeight="1">
      <c r="A703" s="803" t="s">
        <v>0</v>
      </c>
      <c r="B703" s="803" t="s">
        <v>21</v>
      </c>
      <c r="C703" s="855" t="s">
        <v>50</v>
      </c>
      <c r="D703" s="815" t="s">
        <v>51</v>
      </c>
      <c r="E703" s="815" t="s">
        <v>9</v>
      </c>
      <c r="F703" s="815" t="s">
        <v>117</v>
      </c>
      <c r="G703" s="815" t="s">
        <v>52</v>
      </c>
      <c r="I703" s="335"/>
      <c r="J703" s="335"/>
      <c r="K703" s="335"/>
      <c r="L703" s="335"/>
      <c r="M703" s="335"/>
      <c r="N703" s="335"/>
      <c r="O703" s="335"/>
      <c r="P703" s="335"/>
    </row>
    <row r="704" spans="1:16" ht="21" customHeight="1">
      <c r="A704" s="803"/>
      <c r="B704" s="803"/>
      <c r="C704" s="855"/>
      <c r="D704" s="815"/>
      <c r="E704" s="815"/>
      <c r="F704" s="815"/>
      <c r="G704" s="815"/>
      <c r="I704" s="335"/>
      <c r="J704" s="335"/>
      <c r="K704" s="335"/>
      <c r="L704" s="335"/>
      <c r="M704" s="335"/>
      <c r="N704" s="335"/>
      <c r="O704" s="335"/>
      <c r="P704" s="335"/>
    </row>
    <row r="705" spans="1:16" ht="21" customHeight="1">
      <c r="A705" s="703">
        <v>1</v>
      </c>
      <c r="B705" s="264" t="s">
        <v>1174</v>
      </c>
      <c r="C705" s="510">
        <v>464991.8</v>
      </c>
      <c r="D705" s="511">
        <v>22685</v>
      </c>
      <c r="E705" s="511">
        <f>C705*D705</f>
        <v>10548338983</v>
      </c>
      <c r="F705" s="512"/>
      <c r="G705" s="511"/>
      <c r="I705" s="335"/>
      <c r="J705" s="335"/>
      <c r="K705" s="335"/>
      <c r="L705" s="335"/>
      <c r="M705" s="335"/>
      <c r="N705" s="335"/>
      <c r="O705" s="335"/>
      <c r="P705" s="335"/>
    </row>
    <row r="706" spans="1:16" ht="21" customHeight="1">
      <c r="A706" s="703">
        <v>2</v>
      </c>
      <c r="B706" s="253" t="s">
        <v>123</v>
      </c>
      <c r="C706" s="309">
        <v>-220</v>
      </c>
      <c r="D706" s="255"/>
      <c r="E706" s="255"/>
      <c r="F706" s="254">
        <f>-C706*D705</f>
        <v>4990700</v>
      </c>
      <c r="G706" s="255"/>
      <c r="I706" s="335"/>
      <c r="J706" s="335"/>
      <c r="K706" s="335"/>
      <c r="L706" s="335"/>
      <c r="M706" s="335"/>
      <c r="N706" s="335"/>
      <c r="O706" s="335"/>
      <c r="P706" s="335"/>
    </row>
    <row r="707" spans="1:16" ht="21" customHeight="1">
      <c r="A707" s="703">
        <v>3</v>
      </c>
      <c r="B707" s="256" t="s">
        <v>744</v>
      </c>
      <c r="C707" s="263"/>
      <c r="D707" s="258"/>
      <c r="E707" s="258"/>
      <c r="F707" s="254">
        <v>2200000</v>
      </c>
      <c r="G707" s="255">
        <v>3300000000</v>
      </c>
      <c r="I707" s="335"/>
      <c r="J707" s="335"/>
      <c r="K707" s="335"/>
      <c r="L707" s="335"/>
      <c r="M707" s="335"/>
      <c r="N707" s="335"/>
      <c r="O707" s="335"/>
      <c r="P707" s="335"/>
    </row>
    <row r="708" spans="1:16" ht="21" customHeight="1">
      <c r="A708" s="703">
        <v>4</v>
      </c>
      <c r="B708" s="256" t="s">
        <v>1137</v>
      </c>
      <c r="C708" s="263"/>
      <c r="D708" s="258"/>
      <c r="E708" s="258"/>
      <c r="F708" s="254">
        <v>2200000</v>
      </c>
      <c r="G708" s="255">
        <v>3700000000</v>
      </c>
      <c r="I708" s="335"/>
      <c r="J708" s="335"/>
      <c r="K708" s="335"/>
      <c r="L708" s="335"/>
      <c r="M708" s="335"/>
      <c r="N708" s="335"/>
      <c r="O708" s="335"/>
      <c r="P708" s="335"/>
    </row>
    <row r="709" spans="1:16" ht="21" customHeight="1">
      <c r="A709" s="703">
        <v>5</v>
      </c>
      <c r="B709" s="256" t="s">
        <v>888</v>
      </c>
      <c r="C709" s="263"/>
      <c r="D709" s="258"/>
      <c r="E709" s="258"/>
      <c r="F709" s="254">
        <v>2200000</v>
      </c>
      <c r="G709" s="255">
        <v>3536748000</v>
      </c>
      <c r="I709" s="335"/>
      <c r="J709" s="335"/>
      <c r="K709" s="335"/>
      <c r="L709" s="335"/>
      <c r="M709" s="335"/>
      <c r="N709" s="335"/>
      <c r="O709" s="335"/>
      <c r="P709" s="335"/>
    </row>
    <row r="710" spans="1:16">
      <c r="A710" s="329"/>
      <c r="B710" s="329"/>
      <c r="C710" s="338"/>
      <c r="D710" s="258"/>
      <c r="E710" s="258"/>
      <c r="F710" s="339"/>
      <c r="G710" s="258"/>
      <c r="I710" s="335"/>
      <c r="J710" s="335"/>
      <c r="K710" s="335"/>
      <c r="L710" s="335"/>
      <c r="M710" s="335"/>
      <c r="N710" s="335"/>
      <c r="O710" s="335"/>
      <c r="P710" s="335"/>
    </row>
    <row r="711" spans="1:16">
      <c r="A711" s="376"/>
      <c r="B711" s="376" t="s">
        <v>57</v>
      </c>
      <c r="C711" s="262">
        <f>SUM(C705:C710)</f>
        <v>464771.8</v>
      </c>
      <c r="D711" s="378"/>
      <c r="E711" s="378">
        <f>SUM(E705:E710)</f>
        <v>10548338983</v>
      </c>
      <c r="F711" s="378">
        <f>SUM(F705:F710)</f>
        <v>11590700</v>
      </c>
      <c r="G711" s="378">
        <f>SUM(G705:G710)</f>
        <v>10536748000</v>
      </c>
      <c r="I711" s="335"/>
      <c r="J711" s="335"/>
      <c r="K711" s="335"/>
      <c r="L711" s="335"/>
      <c r="M711" s="335"/>
      <c r="N711" s="335"/>
      <c r="O711" s="335"/>
      <c r="P711" s="335"/>
    </row>
    <row r="712" spans="1:16">
      <c r="I712" s="335"/>
      <c r="J712" s="335"/>
      <c r="K712" s="335"/>
      <c r="L712" s="335"/>
      <c r="M712" s="335"/>
      <c r="N712" s="335"/>
      <c r="O712" s="335"/>
      <c r="P712" s="335"/>
    </row>
    <row r="713" spans="1:16" ht="15.75">
      <c r="B713" s="162" t="s">
        <v>749</v>
      </c>
      <c r="I713" s="335"/>
      <c r="J713" s="335"/>
      <c r="K713" s="335"/>
      <c r="L713" s="335"/>
      <c r="M713" s="335"/>
      <c r="N713" s="335"/>
      <c r="O713" s="335"/>
      <c r="P713" s="335"/>
    </row>
    <row r="714" spans="1:16">
      <c r="G714" s="342">
        <f>E711-F711-G711</f>
        <v>283</v>
      </c>
    </row>
    <row r="717" spans="1:16" ht="21" customHeight="1">
      <c r="A717" s="803" t="s">
        <v>0</v>
      </c>
      <c r="B717" s="803" t="s">
        <v>21</v>
      </c>
      <c r="C717" s="855" t="s">
        <v>50</v>
      </c>
      <c r="D717" s="815" t="s">
        <v>51</v>
      </c>
      <c r="E717" s="815" t="s">
        <v>9</v>
      </c>
      <c r="F717" s="815" t="s">
        <v>117</v>
      </c>
      <c r="G717" s="815" t="s">
        <v>52</v>
      </c>
      <c r="I717" s="335"/>
      <c r="J717" s="335"/>
      <c r="K717" s="335"/>
      <c r="L717" s="335"/>
      <c r="M717" s="335"/>
      <c r="N717" s="335"/>
      <c r="O717" s="335"/>
      <c r="P717" s="335"/>
    </row>
    <row r="718" spans="1:16" ht="21" customHeight="1">
      <c r="A718" s="803"/>
      <c r="B718" s="803"/>
      <c r="C718" s="855"/>
      <c r="D718" s="815"/>
      <c r="E718" s="815"/>
      <c r="F718" s="815"/>
      <c r="G718" s="815"/>
      <c r="I718" s="335"/>
      <c r="J718" s="335"/>
      <c r="K718" s="335"/>
      <c r="L718" s="335"/>
      <c r="M718" s="335"/>
      <c r="N718" s="335"/>
      <c r="O718" s="335"/>
      <c r="P718" s="335"/>
    </row>
    <row r="719" spans="1:16" ht="21" customHeight="1">
      <c r="A719" s="710">
        <v>1</v>
      </c>
      <c r="B719" s="264" t="s">
        <v>1180</v>
      </c>
      <c r="C719" s="510">
        <v>244899.20000000001</v>
      </c>
      <c r="D719" s="511">
        <v>22685</v>
      </c>
      <c r="E719" s="511">
        <f>C719*$D$719</f>
        <v>5555538352</v>
      </c>
      <c r="F719" s="512"/>
      <c r="G719" s="511"/>
      <c r="I719" s="335"/>
      <c r="J719" s="335"/>
      <c r="K719" s="335"/>
      <c r="L719" s="335"/>
      <c r="M719" s="335"/>
      <c r="N719" s="335"/>
      <c r="O719" s="335"/>
      <c r="P719" s="335"/>
    </row>
    <row r="720" spans="1:16" ht="21" customHeight="1">
      <c r="A720" s="710">
        <v>3</v>
      </c>
      <c r="B720" s="253" t="s">
        <v>123</v>
      </c>
      <c r="C720" s="309">
        <v>-220</v>
      </c>
      <c r="D720" s="255"/>
      <c r="E720" s="511"/>
      <c r="F720" s="254">
        <f>-C720*$D$719</f>
        <v>4990700</v>
      </c>
      <c r="G720" s="255"/>
      <c r="I720" s="335"/>
      <c r="J720" s="335"/>
      <c r="K720" s="335"/>
      <c r="L720" s="335"/>
      <c r="M720" s="335"/>
      <c r="N720" s="335"/>
      <c r="O720" s="335"/>
      <c r="P720" s="335"/>
    </row>
    <row r="721" spans="1:16" ht="21" customHeight="1">
      <c r="A721" s="710">
        <v>2</v>
      </c>
      <c r="B721" s="264" t="s">
        <v>1180</v>
      </c>
      <c r="C721" s="510">
        <v>122449.60000000001</v>
      </c>
      <c r="D721" s="511"/>
      <c r="E721" s="511">
        <f t="shared" ref="E721" si="202">C721*$D$719</f>
        <v>2777769176</v>
      </c>
      <c r="F721" s="254"/>
      <c r="G721" s="511"/>
      <c r="I721" s="335"/>
      <c r="J721" s="335"/>
      <c r="K721" s="335"/>
      <c r="L721" s="335"/>
      <c r="M721" s="335"/>
      <c r="N721" s="335"/>
      <c r="O721" s="335"/>
      <c r="P721" s="335"/>
    </row>
    <row r="722" spans="1:16" ht="21" customHeight="1">
      <c r="A722" s="710">
        <v>3</v>
      </c>
      <c r="B722" s="253" t="s">
        <v>123</v>
      </c>
      <c r="C722" s="309">
        <v>-67.34</v>
      </c>
      <c r="D722" s="255"/>
      <c r="E722" s="255"/>
      <c r="F722" s="254">
        <f t="shared" ref="F722" si="203">-C722*$D$719</f>
        <v>1527607.9000000001</v>
      </c>
      <c r="G722" s="255"/>
      <c r="I722" s="335"/>
      <c r="J722" s="335"/>
      <c r="K722" s="335"/>
      <c r="L722" s="335"/>
      <c r="M722" s="335"/>
      <c r="N722" s="335"/>
      <c r="O722" s="335"/>
      <c r="P722" s="335"/>
    </row>
    <row r="723" spans="1:16" ht="21" customHeight="1">
      <c r="A723" s="710">
        <v>4</v>
      </c>
      <c r="B723" s="256" t="s">
        <v>394</v>
      </c>
      <c r="C723" s="263"/>
      <c r="D723" s="258"/>
      <c r="E723" s="258"/>
      <c r="F723" s="254">
        <v>2200000</v>
      </c>
      <c r="G723" s="255">
        <v>1204970000</v>
      </c>
      <c r="I723" s="335"/>
      <c r="J723" s="335"/>
      <c r="K723" s="335"/>
      <c r="L723" s="335"/>
      <c r="M723" s="335"/>
      <c r="N723" s="335"/>
      <c r="O723" s="335"/>
      <c r="P723" s="335"/>
    </row>
    <row r="724" spans="1:16" ht="21" customHeight="1">
      <c r="A724" s="710">
        <v>5</v>
      </c>
      <c r="B724" s="256" t="s">
        <v>744</v>
      </c>
      <c r="C724" s="263"/>
      <c r="D724" s="258"/>
      <c r="E724" s="258"/>
      <c r="F724" s="254">
        <v>2200000</v>
      </c>
      <c r="G724" s="255">
        <v>3300000000</v>
      </c>
      <c r="I724" s="335"/>
      <c r="J724" s="335"/>
      <c r="K724" s="335"/>
      <c r="L724" s="335"/>
      <c r="M724" s="335"/>
      <c r="N724" s="335"/>
      <c r="O724" s="335"/>
      <c r="P724" s="335"/>
    </row>
    <row r="725" spans="1:16" ht="21" customHeight="1">
      <c r="A725" s="710">
        <v>6</v>
      </c>
      <c r="B725" s="256" t="s">
        <v>1137</v>
      </c>
      <c r="C725" s="263"/>
      <c r="D725" s="258"/>
      <c r="E725" s="258"/>
      <c r="F725" s="254">
        <v>2200000</v>
      </c>
      <c r="G725" s="255">
        <v>3815219000</v>
      </c>
      <c r="I725" s="335"/>
      <c r="J725" s="335"/>
      <c r="K725" s="335"/>
      <c r="L725" s="335"/>
      <c r="M725" s="335"/>
      <c r="N725" s="335"/>
      <c r="O725" s="335"/>
      <c r="P725" s="335"/>
    </row>
    <row r="726" spans="1:16">
      <c r="A726" s="329"/>
      <c r="B726" s="329"/>
      <c r="C726" s="338"/>
      <c r="D726" s="258"/>
      <c r="E726" s="258"/>
      <c r="F726" s="254"/>
      <c r="G726" s="258"/>
      <c r="I726" s="335"/>
      <c r="J726" s="335"/>
      <c r="K726" s="335"/>
      <c r="L726" s="335"/>
      <c r="M726" s="335"/>
      <c r="N726" s="335"/>
      <c r="O726" s="335"/>
      <c r="P726" s="335"/>
    </row>
    <row r="727" spans="1:16">
      <c r="A727" s="376"/>
      <c r="B727" s="376" t="s">
        <v>57</v>
      </c>
      <c r="C727" s="262">
        <f>SUM(C719:C726)</f>
        <v>367061.46</v>
      </c>
      <c r="D727" s="378"/>
      <c r="E727" s="378">
        <f>SUM(E719:E726)</f>
        <v>8333307528</v>
      </c>
      <c r="F727" s="378">
        <f>SUM(F719:F726)</f>
        <v>13118307.9</v>
      </c>
      <c r="G727" s="378">
        <f>SUM(G719:G726)</f>
        <v>8320189000</v>
      </c>
      <c r="I727" s="335"/>
      <c r="J727" s="335"/>
      <c r="K727" s="335"/>
      <c r="L727" s="335"/>
      <c r="M727" s="335"/>
      <c r="N727" s="335"/>
      <c r="O727" s="335"/>
      <c r="P727" s="335"/>
    </row>
    <row r="728" spans="1:16">
      <c r="I728" s="335"/>
      <c r="J728" s="335"/>
      <c r="K728" s="335"/>
      <c r="L728" s="335"/>
      <c r="M728" s="335"/>
      <c r="N728" s="335"/>
      <c r="O728" s="335"/>
      <c r="P728" s="335"/>
    </row>
    <row r="729" spans="1:16" ht="15.75">
      <c r="B729" s="162" t="s">
        <v>749</v>
      </c>
      <c r="I729" s="335"/>
      <c r="J729" s="335"/>
      <c r="K729" s="335"/>
      <c r="L729" s="335"/>
      <c r="M729" s="335"/>
      <c r="N729" s="335"/>
      <c r="O729" s="335"/>
      <c r="P729" s="335"/>
    </row>
    <row r="730" spans="1:16">
      <c r="G730" s="342">
        <f>E727-F727-G727</f>
        <v>220.10000038146973</v>
      </c>
    </row>
    <row r="732" spans="1:16" ht="21" customHeight="1">
      <c r="A732" s="803" t="s">
        <v>0</v>
      </c>
      <c r="B732" s="803" t="s">
        <v>21</v>
      </c>
      <c r="C732" s="855" t="s">
        <v>50</v>
      </c>
      <c r="D732" s="815" t="s">
        <v>51</v>
      </c>
      <c r="E732" s="815" t="s">
        <v>9</v>
      </c>
      <c r="F732" s="815" t="s">
        <v>117</v>
      </c>
      <c r="G732" s="815" t="s">
        <v>52</v>
      </c>
      <c r="I732" s="335"/>
      <c r="J732" s="335"/>
      <c r="K732" s="335"/>
      <c r="L732" s="335"/>
      <c r="M732" s="335"/>
      <c r="N732" s="335"/>
      <c r="O732" s="335"/>
      <c r="P732" s="335"/>
    </row>
    <row r="733" spans="1:16" ht="21" customHeight="1">
      <c r="A733" s="803"/>
      <c r="B733" s="803"/>
      <c r="C733" s="855"/>
      <c r="D733" s="815"/>
      <c r="E733" s="815"/>
      <c r="F733" s="815"/>
      <c r="G733" s="815"/>
      <c r="I733" s="335"/>
      <c r="J733" s="335"/>
      <c r="K733" s="335"/>
      <c r="L733" s="335"/>
      <c r="M733" s="335"/>
      <c r="N733" s="335"/>
      <c r="O733" s="335"/>
      <c r="P733" s="335"/>
    </row>
    <row r="734" spans="1:16" ht="21" customHeight="1">
      <c r="A734" s="710">
        <v>1</v>
      </c>
      <c r="B734" s="264" t="s">
        <v>1184</v>
      </c>
      <c r="C734" s="510">
        <v>258512</v>
      </c>
      <c r="D734" s="511">
        <v>22685</v>
      </c>
      <c r="E734" s="511">
        <f>C734*D734</f>
        <v>5864344720</v>
      </c>
      <c r="F734" s="512"/>
      <c r="G734" s="511"/>
      <c r="I734" s="335"/>
      <c r="J734" s="335"/>
      <c r="K734" s="335"/>
      <c r="L734" s="335"/>
      <c r="M734" s="335"/>
      <c r="N734" s="335"/>
      <c r="O734" s="335"/>
      <c r="P734" s="335"/>
    </row>
    <row r="735" spans="1:16" ht="21" customHeight="1">
      <c r="A735" s="710">
        <v>2</v>
      </c>
      <c r="B735" s="256" t="s">
        <v>744</v>
      </c>
      <c r="C735" s="263"/>
      <c r="D735" s="258"/>
      <c r="E735" s="258"/>
      <c r="F735" s="254">
        <v>2200000</v>
      </c>
      <c r="G735" s="255">
        <v>2600000000</v>
      </c>
      <c r="I735" s="335"/>
      <c r="J735" s="335"/>
      <c r="K735" s="335"/>
      <c r="L735" s="335"/>
      <c r="M735" s="335"/>
      <c r="N735" s="335"/>
      <c r="O735" s="335"/>
      <c r="P735" s="335"/>
    </row>
    <row r="736" spans="1:16" ht="21" customHeight="1">
      <c r="A736" s="710">
        <v>3</v>
      </c>
      <c r="B736" s="256" t="s">
        <v>56</v>
      </c>
      <c r="C736" s="263"/>
      <c r="D736" s="258"/>
      <c r="E736" s="258"/>
      <c r="F736" s="254">
        <v>2200000</v>
      </c>
      <c r="G736" s="255">
        <v>3259944000</v>
      </c>
      <c r="I736" s="335"/>
      <c r="J736" s="335"/>
      <c r="K736" s="335"/>
      <c r="L736" s="335"/>
      <c r="M736" s="335"/>
      <c r="N736" s="335"/>
      <c r="O736" s="335"/>
      <c r="P736" s="335"/>
    </row>
    <row r="737" spans="1:16">
      <c r="A737" s="329"/>
      <c r="B737" s="329"/>
      <c r="C737" s="338"/>
      <c r="D737" s="258"/>
      <c r="E737" s="258"/>
      <c r="F737" s="339"/>
      <c r="G737" s="258"/>
      <c r="I737" s="335"/>
      <c r="J737" s="335"/>
      <c r="K737" s="335"/>
      <c r="L737" s="335"/>
      <c r="M737" s="335"/>
      <c r="N737" s="335"/>
      <c r="O737" s="335"/>
      <c r="P737" s="335"/>
    </row>
    <row r="738" spans="1:16">
      <c r="A738" s="376"/>
      <c r="B738" s="376" t="s">
        <v>57</v>
      </c>
      <c r="C738" s="262">
        <f>SUM(C734:C737)</f>
        <v>258512</v>
      </c>
      <c r="D738" s="378"/>
      <c r="E738" s="378">
        <f>SUM(E734:E737)</f>
        <v>5864344720</v>
      </c>
      <c r="F738" s="378">
        <f>SUM(F734:F737)</f>
        <v>4400000</v>
      </c>
      <c r="G738" s="378">
        <f>SUM(G734:G737)</f>
        <v>5859944000</v>
      </c>
      <c r="I738" s="335"/>
      <c r="J738" s="335"/>
      <c r="K738" s="335"/>
      <c r="L738" s="335"/>
      <c r="M738" s="335"/>
      <c r="N738" s="335"/>
      <c r="O738" s="335"/>
      <c r="P738" s="335"/>
    </row>
    <row r="739" spans="1:16">
      <c r="I739" s="335"/>
      <c r="J739" s="335"/>
      <c r="K739" s="335"/>
      <c r="L739" s="335"/>
      <c r="M739" s="335"/>
      <c r="N739" s="335"/>
      <c r="O739" s="335"/>
      <c r="P739" s="335"/>
    </row>
    <row r="740" spans="1:16" ht="15.75">
      <c r="B740" s="162" t="s">
        <v>749</v>
      </c>
      <c r="I740" s="335"/>
      <c r="J740" s="335"/>
      <c r="K740" s="335"/>
      <c r="L740" s="335"/>
      <c r="M740" s="335"/>
      <c r="N740" s="335"/>
      <c r="O740" s="335"/>
      <c r="P740" s="335"/>
    </row>
    <row r="741" spans="1:16">
      <c r="G741" s="342">
        <f>E738-F738-G738</f>
        <v>720</v>
      </c>
    </row>
    <row r="747" spans="1:16" ht="21" customHeight="1">
      <c r="A747" s="803" t="s">
        <v>0</v>
      </c>
      <c r="B747" s="803" t="s">
        <v>21</v>
      </c>
      <c r="C747" s="855" t="s">
        <v>50</v>
      </c>
      <c r="D747" s="815" t="s">
        <v>51</v>
      </c>
      <c r="E747" s="815" t="s">
        <v>9</v>
      </c>
      <c r="F747" s="815" t="s">
        <v>117</v>
      </c>
      <c r="G747" s="815" t="s">
        <v>52</v>
      </c>
      <c r="I747" s="335"/>
      <c r="J747" s="335"/>
      <c r="K747" s="335"/>
      <c r="L747" s="335"/>
      <c r="M747" s="335"/>
      <c r="N747" s="335"/>
      <c r="O747" s="335"/>
      <c r="P747" s="335"/>
    </row>
    <row r="748" spans="1:16" ht="21" customHeight="1">
      <c r="A748" s="803"/>
      <c r="B748" s="803"/>
      <c r="C748" s="855"/>
      <c r="D748" s="815"/>
      <c r="E748" s="815"/>
      <c r="F748" s="815"/>
      <c r="G748" s="815"/>
      <c r="I748" s="335"/>
      <c r="J748" s="335"/>
      <c r="K748" s="335"/>
      <c r="L748" s="335"/>
      <c r="M748" s="335"/>
      <c r="N748" s="335"/>
      <c r="O748" s="335"/>
      <c r="P748" s="335"/>
    </row>
    <row r="749" spans="1:16" ht="21" customHeight="1">
      <c r="A749" s="710">
        <v>1</v>
      </c>
      <c r="B749" s="264" t="s">
        <v>1194</v>
      </c>
      <c r="C749" s="510">
        <v>98116.800000000003</v>
      </c>
      <c r="D749" s="511">
        <v>22685</v>
      </c>
      <c r="E749" s="511">
        <f>C749*D749</f>
        <v>2225779608</v>
      </c>
      <c r="F749" s="512"/>
      <c r="G749" s="511"/>
      <c r="I749" s="335"/>
      <c r="J749" s="335"/>
      <c r="K749" s="335"/>
      <c r="L749" s="335"/>
      <c r="M749" s="335"/>
      <c r="N749" s="335"/>
      <c r="O749" s="335"/>
      <c r="P749" s="335"/>
    </row>
    <row r="750" spans="1:16" ht="21" customHeight="1">
      <c r="A750" s="710">
        <v>2</v>
      </c>
      <c r="B750" s="256" t="s">
        <v>1195</v>
      </c>
      <c r="C750" s="263"/>
      <c r="D750" s="258"/>
      <c r="E750" s="258">
        <v>500000000</v>
      </c>
      <c r="F750" s="254"/>
      <c r="G750" s="255"/>
      <c r="I750" s="335"/>
      <c r="J750" s="335"/>
      <c r="K750" s="335"/>
      <c r="L750" s="335"/>
      <c r="M750" s="335"/>
      <c r="N750" s="335"/>
      <c r="O750" s="335"/>
      <c r="P750" s="335"/>
    </row>
    <row r="751" spans="1:16" ht="21" customHeight="1">
      <c r="A751" s="710">
        <v>3</v>
      </c>
      <c r="B751" s="256" t="s">
        <v>1196</v>
      </c>
      <c r="C751" s="263"/>
      <c r="D751" s="258"/>
      <c r="E751" s="258">
        <v>53000000</v>
      </c>
      <c r="F751" s="254"/>
      <c r="G751" s="255"/>
      <c r="I751" s="335"/>
      <c r="J751" s="335"/>
      <c r="K751" s="335"/>
      <c r="L751" s="335"/>
      <c r="M751" s="335"/>
      <c r="N751" s="335"/>
      <c r="O751" s="335"/>
      <c r="P751" s="335"/>
    </row>
    <row r="752" spans="1:16" ht="21" customHeight="1">
      <c r="A752" s="710">
        <v>4</v>
      </c>
      <c r="B752" s="256" t="s">
        <v>1197</v>
      </c>
      <c r="C752" s="263"/>
      <c r="D752" s="258"/>
      <c r="E752" s="258"/>
      <c r="F752" s="254"/>
      <c r="G752" s="255">
        <v>2778780000</v>
      </c>
      <c r="I752" s="335"/>
      <c r="J752" s="335"/>
      <c r="K752" s="335"/>
      <c r="L752" s="335"/>
      <c r="M752" s="335"/>
      <c r="N752" s="335"/>
      <c r="O752" s="335"/>
      <c r="P752" s="335"/>
    </row>
    <row r="753" spans="1:16">
      <c r="A753" s="329"/>
      <c r="B753" s="329"/>
      <c r="C753" s="338"/>
      <c r="D753" s="258"/>
      <c r="E753" s="258"/>
      <c r="F753" s="339"/>
      <c r="G753" s="258"/>
      <c r="I753" s="335"/>
      <c r="J753" s="335"/>
      <c r="K753" s="335"/>
      <c r="L753" s="335"/>
      <c r="M753" s="335"/>
      <c r="N753" s="335"/>
      <c r="O753" s="335"/>
      <c r="P753" s="335"/>
    </row>
    <row r="754" spans="1:16">
      <c r="A754" s="376"/>
      <c r="B754" s="376" t="s">
        <v>57</v>
      </c>
      <c r="C754" s="262">
        <f>SUM(C749:C753)</f>
        <v>98116.800000000003</v>
      </c>
      <c r="D754" s="378"/>
      <c r="E754" s="378">
        <f>SUM(E749:E753)</f>
        <v>2778779608</v>
      </c>
      <c r="F754" s="378">
        <f>SUM(F749:F753)</f>
        <v>0</v>
      </c>
      <c r="G754" s="378">
        <f>SUM(G749:G753)</f>
        <v>2778780000</v>
      </c>
      <c r="I754" s="335"/>
      <c r="J754" s="335"/>
      <c r="K754" s="335"/>
      <c r="L754" s="335"/>
      <c r="M754" s="335"/>
      <c r="N754" s="335"/>
      <c r="O754" s="335"/>
      <c r="P754" s="335"/>
    </row>
    <row r="755" spans="1:16">
      <c r="I755" s="335"/>
      <c r="J755" s="335"/>
      <c r="K755" s="335"/>
      <c r="L755" s="335"/>
      <c r="M755" s="335"/>
      <c r="N755" s="335"/>
      <c r="O755" s="335"/>
      <c r="P755" s="335"/>
    </row>
    <row r="756" spans="1:16">
      <c r="G756" s="342">
        <f>E754-F754-G754</f>
        <v>-392</v>
      </c>
    </row>
  </sheetData>
  <autoFilter ref="A287:T297"/>
  <mergeCells count="232">
    <mergeCell ref="G628:G629"/>
    <mergeCell ref="C592:C593"/>
    <mergeCell ref="D592:D593"/>
    <mergeCell ref="E592:E593"/>
    <mergeCell ref="F592:F593"/>
    <mergeCell ref="G592:G593"/>
    <mergeCell ref="C610:C611"/>
    <mergeCell ref="D610:D611"/>
    <mergeCell ref="E610:E611"/>
    <mergeCell ref="F610:F611"/>
    <mergeCell ref="G610:G611"/>
    <mergeCell ref="T400:T401"/>
    <mergeCell ref="S400:S401"/>
    <mergeCell ref="R400:R401"/>
    <mergeCell ref="Q400:Q401"/>
    <mergeCell ref="O400:P400"/>
    <mergeCell ref="N400:N401"/>
    <mergeCell ref="M400:M401"/>
    <mergeCell ref="I400:I401"/>
    <mergeCell ref="L400:L401"/>
    <mergeCell ref="K400:K401"/>
    <mergeCell ref="J400:J401"/>
    <mergeCell ref="T516:T517"/>
    <mergeCell ref="G480:G481"/>
    <mergeCell ref="K516:K517"/>
    <mergeCell ref="A434:A435"/>
    <mergeCell ref="B434:B435"/>
    <mergeCell ref="C434:C435"/>
    <mergeCell ref="D434:D435"/>
    <mergeCell ref="E434:E435"/>
    <mergeCell ref="F434:F435"/>
    <mergeCell ref="G434:G435"/>
    <mergeCell ref="A463:A464"/>
    <mergeCell ref="B463:B464"/>
    <mergeCell ref="C463:C464"/>
    <mergeCell ref="D463:D464"/>
    <mergeCell ref="E463:E464"/>
    <mergeCell ref="F448:F449"/>
    <mergeCell ref="A448:A449"/>
    <mergeCell ref="B448:B449"/>
    <mergeCell ref="A480:A481"/>
    <mergeCell ref="B480:B481"/>
    <mergeCell ref="C480:C481"/>
    <mergeCell ref="G463:G464"/>
    <mergeCell ref="G448:G449"/>
    <mergeCell ref="J516:J517"/>
    <mergeCell ref="C416:C417"/>
    <mergeCell ref="D416:D417"/>
    <mergeCell ref="M398:N398"/>
    <mergeCell ref="O398:P398"/>
    <mergeCell ref="O350:P350"/>
    <mergeCell ref="C375:D375"/>
    <mergeCell ref="Q516:Q517"/>
    <mergeCell ref="R516:R517"/>
    <mergeCell ref="S516:S517"/>
    <mergeCell ref="O410:P410"/>
    <mergeCell ref="M410:N410"/>
    <mergeCell ref="C448:C449"/>
    <mergeCell ref="D448:D449"/>
    <mergeCell ref="E448:E449"/>
    <mergeCell ref="F463:F464"/>
    <mergeCell ref="Q350:Q351"/>
    <mergeCell ref="R350:R351"/>
    <mergeCell ref="S350:S351"/>
    <mergeCell ref="D480:D481"/>
    <mergeCell ref="E480:E481"/>
    <mergeCell ref="F480:F481"/>
    <mergeCell ref="L516:L517"/>
    <mergeCell ref="M516:M517"/>
    <mergeCell ref="N516:N517"/>
    <mergeCell ref="T350:T351"/>
    <mergeCell ref="M347:N347"/>
    <mergeCell ref="A350:A351"/>
    <mergeCell ref="B350:B351"/>
    <mergeCell ref="C350:C351"/>
    <mergeCell ref="D350:D351"/>
    <mergeCell ref="E350:E351"/>
    <mergeCell ref="F350:F351"/>
    <mergeCell ref="G350:G351"/>
    <mergeCell ref="I350:I351"/>
    <mergeCell ref="J350:J351"/>
    <mergeCell ref="K350:K351"/>
    <mergeCell ref="L350:L351"/>
    <mergeCell ref="M350:M351"/>
    <mergeCell ref="N350:N351"/>
    <mergeCell ref="T286:T287"/>
    <mergeCell ref="O347:P347"/>
    <mergeCell ref="N286:N287"/>
    <mergeCell ref="O286:P286"/>
    <mergeCell ref="Q286:Q287"/>
    <mergeCell ref="R286:R287"/>
    <mergeCell ref="S286:S287"/>
    <mergeCell ref="I286:I287"/>
    <mergeCell ref="J286:J287"/>
    <mergeCell ref="K286:K287"/>
    <mergeCell ref="L286:L287"/>
    <mergeCell ref="M286:M287"/>
    <mergeCell ref="C233:D233"/>
    <mergeCell ref="C234:D234"/>
    <mergeCell ref="C235:D235"/>
    <mergeCell ref="C236:D236"/>
    <mergeCell ref="C237:D237"/>
    <mergeCell ref="C238:D238"/>
    <mergeCell ref="C239:D239"/>
    <mergeCell ref="C245:D245"/>
    <mergeCell ref="C246:D246"/>
    <mergeCell ref="G286:G287"/>
    <mergeCell ref="A286:A287"/>
    <mergeCell ref="B286:B287"/>
    <mergeCell ref="C286:C287"/>
    <mergeCell ref="D286:D287"/>
    <mergeCell ref="E286:E287"/>
    <mergeCell ref="F416:F417"/>
    <mergeCell ref="G416:G417"/>
    <mergeCell ref="F286:F287"/>
    <mergeCell ref="E416:E417"/>
    <mergeCell ref="A400:A401"/>
    <mergeCell ref="B400:B401"/>
    <mergeCell ref="C400:C401"/>
    <mergeCell ref="C370:D370"/>
    <mergeCell ref="C371:D371"/>
    <mergeCell ref="C373:D373"/>
    <mergeCell ref="F400:F401"/>
    <mergeCell ref="G400:G401"/>
    <mergeCell ref="C372:D372"/>
    <mergeCell ref="C374:D374"/>
    <mergeCell ref="D400:D401"/>
    <mergeCell ref="E400:E401"/>
    <mergeCell ref="A416:A417"/>
    <mergeCell ref="B416:B417"/>
    <mergeCell ref="O516:P516"/>
    <mergeCell ref="A496:A497"/>
    <mergeCell ref="B496:B497"/>
    <mergeCell ref="C496:C497"/>
    <mergeCell ref="D496:D497"/>
    <mergeCell ref="E496:E497"/>
    <mergeCell ref="F496:F497"/>
    <mergeCell ref="A592:A593"/>
    <mergeCell ref="B592:B593"/>
    <mergeCell ref="A516:A517"/>
    <mergeCell ref="B516:B517"/>
    <mergeCell ref="C516:C517"/>
    <mergeCell ref="D516:D517"/>
    <mergeCell ref="E516:E517"/>
    <mergeCell ref="F516:F517"/>
    <mergeCell ref="G516:G517"/>
    <mergeCell ref="G496:G497"/>
    <mergeCell ref="I516:I517"/>
    <mergeCell ref="O575:P575"/>
    <mergeCell ref="M572:O572"/>
    <mergeCell ref="N575:N576"/>
    <mergeCell ref="Q575:Q576"/>
    <mergeCell ref="R575:R576"/>
    <mergeCell ref="S575:S576"/>
    <mergeCell ref="T575:T576"/>
    <mergeCell ref="A628:A629"/>
    <mergeCell ref="B628:B629"/>
    <mergeCell ref="A610:A611"/>
    <mergeCell ref="B610:B611"/>
    <mergeCell ref="M583:O583"/>
    <mergeCell ref="A575:A576"/>
    <mergeCell ref="B575:B576"/>
    <mergeCell ref="C575:C576"/>
    <mergeCell ref="D575:D576"/>
    <mergeCell ref="E575:E576"/>
    <mergeCell ref="F575:F576"/>
    <mergeCell ref="G575:G576"/>
    <mergeCell ref="I575:I576"/>
    <mergeCell ref="J575:J576"/>
    <mergeCell ref="K575:K576"/>
    <mergeCell ref="L575:L576"/>
    <mergeCell ref="M575:M576"/>
    <mergeCell ref="C628:C629"/>
    <mergeCell ref="D628:D629"/>
    <mergeCell ref="F628:F629"/>
    <mergeCell ref="F672:F673"/>
    <mergeCell ref="G672:G673"/>
    <mergeCell ref="A656:A657"/>
    <mergeCell ref="B656:B657"/>
    <mergeCell ref="C656:C657"/>
    <mergeCell ref="D656:D657"/>
    <mergeCell ref="G656:G657"/>
    <mergeCell ref="A643:A644"/>
    <mergeCell ref="B643:B644"/>
    <mergeCell ref="C643:C644"/>
    <mergeCell ref="E656:E657"/>
    <mergeCell ref="F656:F657"/>
    <mergeCell ref="G703:G704"/>
    <mergeCell ref="F686:F687"/>
    <mergeCell ref="E686:E687"/>
    <mergeCell ref="D686:D687"/>
    <mergeCell ref="C686:C687"/>
    <mergeCell ref="G686:G687"/>
    <mergeCell ref="E628:E629"/>
    <mergeCell ref="A703:A704"/>
    <mergeCell ref="B703:B704"/>
    <mergeCell ref="C703:C704"/>
    <mergeCell ref="D703:D704"/>
    <mergeCell ref="E703:E704"/>
    <mergeCell ref="F703:F704"/>
    <mergeCell ref="B686:B687"/>
    <mergeCell ref="A686:A687"/>
    <mergeCell ref="D643:D644"/>
    <mergeCell ref="E643:E644"/>
    <mergeCell ref="F643:F644"/>
    <mergeCell ref="G643:G644"/>
    <mergeCell ref="A672:A673"/>
    <mergeCell ref="B672:B673"/>
    <mergeCell ref="C672:C673"/>
    <mergeCell ref="D672:D673"/>
    <mergeCell ref="E672:E673"/>
    <mergeCell ref="A747:A748"/>
    <mergeCell ref="B747:B748"/>
    <mergeCell ref="C747:C748"/>
    <mergeCell ref="D747:D748"/>
    <mergeCell ref="E747:E748"/>
    <mergeCell ref="F747:F748"/>
    <mergeCell ref="G747:G748"/>
    <mergeCell ref="A717:A718"/>
    <mergeCell ref="B717:B718"/>
    <mergeCell ref="C717:C718"/>
    <mergeCell ref="D717:D718"/>
    <mergeCell ref="E717:E718"/>
    <mergeCell ref="F717:F718"/>
    <mergeCell ref="G717:G718"/>
    <mergeCell ref="A732:A733"/>
    <mergeCell ref="B732:B733"/>
    <mergeCell ref="C732:C733"/>
    <mergeCell ref="D732:D733"/>
    <mergeCell ref="E732:E733"/>
    <mergeCell ref="F732:F733"/>
    <mergeCell ref="G732:G733"/>
  </mergeCells>
  <pageMargins left="0.16" right="0" top="0.44" bottom="0.16" header="0.16" footer="0"/>
  <pageSetup paperSize="9" scale="9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4"/>
  <sheetViews>
    <sheetView zoomScale="90" zoomScaleNormal="90" workbookViewId="0">
      <pane xSplit="3" ySplit="3" topLeftCell="D4" activePane="bottomRight" state="frozen"/>
      <selection activeCell="Q24" sqref="Q24"/>
      <selection pane="topRight" activeCell="Q24" sqref="Q24"/>
      <selection pane="bottomLeft" activeCell="Q24" sqref="Q24"/>
      <selection pane="bottomRight" activeCell="C11" sqref="C11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33.85546875" style="236" customWidth="1"/>
    <col min="4" max="4" width="9" style="236" customWidth="1"/>
    <col min="5" max="5" width="9.85546875" style="236" customWidth="1"/>
    <col min="6" max="6" width="6.5703125" style="236" customWidth="1"/>
    <col min="7" max="7" width="11.85546875" style="236" customWidth="1"/>
    <col min="8" max="9" width="14.28515625" style="236" customWidth="1"/>
    <col min="10" max="10" width="8.140625" style="236" customWidth="1"/>
    <col min="11" max="11" width="7.7109375" style="236" customWidth="1"/>
    <col min="12" max="12" width="12" style="236" customWidth="1"/>
    <col min="13" max="13" width="8" style="236" customWidth="1"/>
    <col min="14" max="14" width="15" style="236" customWidth="1"/>
    <col min="15" max="15" width="26.85546875" style="236" customWidth="1"/>
    <col min="16" max="16" width="11.5703125" style="236" customWidth="1"/>
    <col min="17" max="17" width="14.85546875" style="236" customWidth="1"/>
    <col min="18" max="18" width="16" style="236" customWidth="1"/>
    <col min="19" max="16384" width="10.7109375" style="236"/>
  </cols>
  <sheetData>
    <row r="1" spans="1:18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</row>
    <row r="2" spans="1:18" s="237" customFormat="1" ht="19.5" customHeight="1">
      <c r="A2" s="849" t="s">
        <v>0</v>
      </c>
      <c r="B2" s="849" t="s">
        <v>1</v>
      </c>
      <c r="C2" s="929" t="s">
        <v>1214</v>
      </c>
      <c r="D2" s="852" t="s">
        <v>464</v>
      </c>
      <c r="E2" s="852"/>
      <c r="F2" s="852"/>
      <c r="G2" s="852"/>
      <c r="H2" s="850" t="s">
        <v>452</v>
      </c>
      <c r="I2" s="850" t="s">
        <v>893</v>
      </c>
      <c r="J2" s="852" t="s">
        <v>3</v>
      </c>
      <c r="K2" s="852"/>
      <c r="L2" s="852"/>
      <c r="M2" s="852"/>
      <c r="N2" s="852"/>
      <c r="O2" s="849" t="s">
        <v>451</v>
      </c>
      <c r="P2" s="849"/>
      <c r="Q2" s="849"/>
      <c r="R2" s="850" t="s">
        <v>82</v>
      </c>
    </row>
    <row r="3" spans="1:18" s="143" customFormat="1" ht="42" customHeight="1">
      <c r="A3" s="849"/>
      <c r="B3" s="849" t="s">
        <v>1</v>
      </c>
      <c r="C3" s="930"/>
      <c r="D3" s="737" t="s">
        <v>83</v>
      </c>
      <c r="E3" s="737" t="s">
        <v>7</v>
      </c>
      <c r="F3" s="737" t="s">
        <v>453</v>
      </c>
      <c r="G3" s="737" t="s">
        <v>411</v>
      </c>
      <c r="H3" s="851"/>
      <c r="I3" s="851"/>
      <c r="J3" s="737" t="s">
        <v>455</v>
      </c>
      <c r="K3" s="737" t="s">
        <v>456</v>
      </c>
      <c r="L3" s="737" t="s">
        <v>457</v>
      </c>
      <c r="M3" s="737" t="s">
        <v>51</v>
      </c>
      <c r="N3" s="737" t="s">
        <v>458</v>
      </c>
      <c r="O3" s="737" t="s">
        <v>460</v>
      </c>
      <c r="P3" s="737" t="s">
        <v>461</v>
      </c>
      <c r="Q3" s="737" t="s">
        <v>462</v>
      </c>
      <c r="R3" s="851"/>
    </row>
    <row r="4" spans="1:18" s="150" customFormat="1" ht="18.75" customHeight="1">
      <c r="A4" s="931">
        <v>1</v>
      </c>
      <c r="B4" s="901">
        <v>43104</v>
      </c>
      <c r="C4" s="243" t="s">
        <v>1215</v>
      </c>
      <c r="D4" s="735"/>
      <c r="E4" s="733">
        <v>130</v>
      </c>
      <c r="F4" s="739">
        <v>2.1</v>
      </c>
      <c r="G4" s="738">
        <f t="shared" ref="G4:G11" si="0">E4*F4</f>
        <v>273</v>
      </c>
      <c r="H4" s="310"/>
      <c r="I4" s="310"/>
      <c r="J4" s="901">
        <v>43117</v>
      </c>
      <c r="K4" s="902">
        <f>SUM(G4:G6)-L4</f>
        <v>32</v>
      </c>
      <c r="L4" s="902">
        <v>21166</v>
      </c>
      <c r="M4" s="903">
        <v>22690</v>
      </c>
      <c r="N4" s="903">
        <f>L4*M4</f>
        <v>480256540</v>
      </c>
      <c r="O4" s="253"/>
      <c r="P4" s="254"/>
      <c r="Q4" s="255"/>
      <c r="R4" s="144"/>
    </row>
    <row r="5" spans="1:18" s="150" customFormat="1" ht="18.75" customHeight="1">
      <c r="A5" s="932"/>
      <c r="B5" s="845"/>
      <c r="C5" s="243" t="s">
        <v>1216</v>
      </c>
      <c r="D5" s="735"/>
      <c r="E5" s="733">
        <v>150</v>
      </c>
      <c r="F5" s="739">
        <v>4.5</v>
      </c>
      <c r="G5" s="738">
        <f t="shared" si="0"/>
        <v>675</v>
      </c>
      <c r="H5" s="310"/>
      <c r="I5" s="310"/>
      <c r="J5" s="844"/>
      <c r="K5" s="842"/>
      <c r="L5" s="842"/>
      <c r="M5" s="822"/>
      <c r="N5" s="822"/>
      <c r="O5" s="253"/>
      <c r="P5" s="254"/>
      <c r="Q5" s="255"/>
      <c r="R5" s="144"/>
    </row>
    <row r="6" spans="1:18" s="150" customFormat="1" ht="18" customHeight="1">
      <c r="A6" s="144">
        <v>2</v>
      </c>
      <c r="B6" s="740">
        <v>43110</v>
      </c>
      <c r="C6" s="243" t="s">
        <v>1216</v>
      </c>
      <c r="D6" s="735"/>
      <c r="E6" s="733">
        <v>4500</v>
      </c>
      <c r="F6" s="739">
        <v>4.5</v>
      </c>
      <c r="G6" s="738">
        <f t="shared" si="0"/>
        <v>20250</v>
      </c>
      <c r="H6" s="310"/>
      <c r="I6" s="310"/>
      <c r="J6" s="845"/>
      <c r="K6" s="831"/>
      <c r="L6" s="831"/>
      <c r="M6" s="823"/>
      <c r="N6" s="823"/>
      <c r="O6" s="253"/>
      <c r="P6" s="254"/>
      <c r="Q6" s="255"/>
      <c r="R6" s="144"/>
    </row>
    <row r="7" spans="1:18" s="150" customFormat="1" ht="18" customHeight="1">
      <c r="A7" s="144">
        <v>3</v>
      </c>
      <c r="B7" s="740">
        <v>43118</v>
      </c>
      <c r="C7" s="243" t="s">
        <v>1217</v>
      </c>
      <c r="D7" s="735"/>
      <c r="E7" s="733">
        <v>6000</v>
      </c>
      <c r="F7" s="739">
        <v>3.8</v>
      </c>
      <c r="G7" s="738">
        <f t="shared" si="0"/>
        <v>22800</v>
      </c>
      <c r="H7" s="310"/>
      <c r="I7" s="310"/>
      <c r="J7" s="308"/>
      <c r="K7" s="309"/>
      <c r="L7" s="309"/>
      <c r="M7" s="310"/>
      <c r="N7" s="310"/>
      <c r="O7" s="253"/>
      <c r="P7" s="254"/>
      <c r="Q7" s="255"/>
      <c r="R7" s="144"/>
    </row>
    <row r="8" spans="1:18" s="150" customFormat="1" ht="18.75" customHeight="1">
      <c r="A8" s="933">
        <v>4</v>
      </c>
      <c r="B8" s="843">
        <v>43130</v>
      </c>
      <c r="C8" s="243" t="s">
        <v>1217</v>
      </c>
      <c r="D8" s="735"/>
      <c r="E8" s="733">
        <v>858</v>
      </c>
      <c r="F8" s="739">
        <v>3.8</v>
      </c>
      <c r="G8" s="738">
        <f t="shared" si="0"/>
        <v>3260.3999999999996</v>
      </c>
      <c r="H8" s="310"/>
      <c r="I8" s="310"/>
      <c r="J8" s="308"/>
      <c r="K8" s="309"/>
      <c r="L8" s="309"/>
      <c r="M8" s="310"/>
      <c r="N8" s="310"/>
      <c r="O8" s="253"/>
      <c r="P8" s="254"/>
      <c r="Q8" s="255"/>
      <c r="R8" s="144"/>
    </row>
    <row r="9" spans="1:18" s="150" customFormat="1" ht="18.75" customHeight="1">
      <c r="A9" s="932"/>
      <c r="B9" s="845"/>
      <c r="C9" s="243" t="s">
        <v>1215</v>
      </c>
      <c r="D9" s="735"/>
      <c r="E9" s="733">
        <v>3900</v>
      </c>
      <c r="F9" s="739">
        <v>2.1</v>
      </c>
      <c r="G9" s="738">
        <f t="shared" si="0"/>
        <v>8190</v>
      </c>
      <c r="H9" s="310"/>
      <c r="I9" s="310"/>
      <c r="J9" s="308"/>
      <c r="K9" s="309"/>
      <c r="L9" s="309"/>
      <c r="M9" s="310"/>
      <c r="N9" s="310"/>
      <c r="O9" s="253"/>
      <c r="P9" s="254"/>
      <c r="Q9" s="255"/>
      <c r="R9" s="144"/>
    </row>
    <row r="10" spans="1:18" s="150" customFormat="1" ht="18.75" customHeight="1">
      <c r="A10" s="144">
        <v>5</v>
      </c>
      <c r="B10" s="740"/>
      <c r="C10" s="243"/>
      <c r="D10" s="735"/>
      <c r="E10" s="733">
        <f t="shared" ref="E10:E11" si="1">D10*13</f>
        <v>0</v>
      </c>
      <c r="F10" s="739"/>
      <c r="G10" s="738">
        <f t="shared" si="0"/>
        <v>0</v>
      </c>
      <c r="H10" s="310"/>
      <c r="I10" s="310"/>
      <c r="J10" s="308"/>
      <c r="K10" s="309"/>
      <c r="L10" s="309"/>
      <c r="M10" s="310"/>
      <c r="N10" s="310"/>
      <c r="O10" s="253"/>
      <c r="P10" s="254"/>
      <c r="Q10" s="255"/>
      <c r="R10" s="144"/>
    </row>
    <row r="11" spans="1:18" s="150" customFormat="1" ht="18.75" customHeight="1">
      <c r="A11" s="144">
        <v>6</v>
      </c>
      <c r="B11" s="740"/>
      <c r="C11" s="243"/>
      <c r="D11" s="735"/>
      <c r="E11" s="733">
        <f t="shared" si="1"/>
        <v>0</v>
      </c>
      <c r="F11" s="739"/>
      <c r="G11" s="738">
        <f t="shared" si="0"/>
        <v>0</v>
      </c>
      <c r="H11" s="310"/>
      <c r="I11" s="310"/>
      <c r="J11" s="308"/>
      <c r="K11" s="309"/>
      <c r="L11" s="309"/>
      <c r="M11" s="310"/>
      <c r="N11" s="310"/>
      <c r="O11" s="253"/>
      <c r="P11" s="254"/>
      <c r="Q11" s="255"/>
      <c r="R11" s="144"/>
    </row>
    <row r="12" spans="1:18" s="150" customFormat="1" ht="18" customHeight="1">
      <c r="A12" s="744">
        <v>7</v>
      </c>
      <c r="B12" s="740"/>
      <c r="C12" s="243"/>
      <c r="D12" s="735"/>
      <c r="E12" s="733">
        <f t="shared" ref="E12:E17" si="2">D12*13</f>
        <v>0</v>
      </c>
      <c r="F12" s="739"/>
      <c r="G12" s="738">
        <f t="shared" ref="G12:G17" si="3">E12*F12</f>
        <v>0</v>
      </c>
      <c r="H12" s="310"/>
      <c r="I12" s="310"/>
      <c r="J12" s="308"/>
      <c r="K12" s="309"/>
      <c r="L12" s="309"/>
      <c r="M12" s="310"/>
      <c r="N12" s="310"/>
      <c r="O12" s="253"/>
      <c r="P12" s="254"/>
      <c r="Q12" s="255"/>
      <c r="R12" s="144"/>
    </row>
    <row r="13" spans="1:18" s="150" customFormat="1" ht="18" customHeight="1">
      <c r="A13" s="744">
        <v>8</v>
      </c>
      <c r="B13" s="740"/>
      <c r="C13" s="243"/>
      <c r="D13" s="735"/>
      <c r="E13" s="733">
        <f t="shared" si="2"/>
        <v>0</v>
      </c>
      <c r="F13" s="739"/>
      <c r="G13" s="738">
        <f t="shared" si="3"/>
        <v>0</v>
      </c>
      <c r="H13" s="310"/>
      <c r="I13" s="310"/>
      <c r="J13" s="308"/>
      <c r="K13" s="309"/>
      <c r="L13" s="309"/>
      <c r="M13" s="310"/>
      <c r="N13" s="310"/>
      <c r="O13" s="253"/>
      <c r="P13" s="254"/>
      <c r="Q13" s="255"/>
      <c r="R13" s="144"/>
    </row>
    <row r="14" spans="1:18" s="150" customFormat="1" ht="18.75" customHeight="1">
      <c r="A14" s="744">
        <v>9</v>
      </c>
      <c r="B14" s="740"/>
      <c r="C14" s="243"/>
      <c r="D14" s="735"/>
      <c r="E14" s="733">
        <f t="shared" si="2"/>
        <v>0</v>
      </c>
      <c r="F14" s="739"/>
      <c r="G14" s="738">
        <f t="shared" si="3"/>
        <v>0</v>
      </c>
      <c r="H14" s="310"/>
      <c r="I14" s="310"/>
      <c r="J14" s="308"/>
      <c r="K14" s="309"/>
      <c r="L14" s="309"/>
      <c r="M14" s="310"/>
      <c r="N14" s="310"/>
      <c r="O14" s="253"/>
      <c r="P14" s="254"/>
      <c r="Q14" s="255"/>
      <c r="R14" s="144"/>
    </row>
    <row r="15" spans="1:18" s="150" customFormat="1" ht="18.75" customHeight="1">
      <c r="A15" s="744">
        <v>10</v>
      </c>
      <c r="B15" s="740"/>
      <c r="C15" s="243"/>
      <c r="D15" s="735"/>
      <c r="E15" s="733">
        <f t="shared" si="2"/>
        <v>0</v>
      </c>
      <c r="F15" s="739"/>
      <c r="G15" s="738">
        <f t="shared" si="3"/>
        <v>0</v>
      </c>
      <c r="H15" s="310"/>
      <c r="I15" s="310"/>
      <c r="J15" s="308"/>
      <c r="K15" s="309"/>
      <c r="L15" s="309"/>
      <c r="M15" s="310"/>
      <c r="N15" s="310"/>
      <c r="O15" s="253"/>
      <c r="P15" s="254"/>
      <c r="Q15" s="255"/>
      <c r="R15" s="144"/>
    </row>
    <row r="16" spans="1:18" s="150" customFormat="1" ht="18.75" customHeight="1">
      <c r="A16" s="744">
        <v>11</v>
      </c>
      <c r="B16" s="740"/>
      <c r="C16" s="243"/>
      <c r="D16" s="735"/>
      <c r="E16" s="733">
        <f t="shared" si="2"/>
        <v>0</v>
      </c>
      <c r="F16" s="739"/>
      <c r="G16" s="738">
        <f t="shared" si="3"/>
        <v>0</v>
      </c>
      <c r="H16" s="310"/>
      <c r="I16" s="310"/>
      <c r="J16" s="308"/>
      <c r="K16" s="309"/>
      <c r="L16" s="309"/>
      <c r="M16" s="310"/>
      <c r="N16" s="310"/>
      <c r="O16" s="253"/>
      <c r="P16" s="254"/>
      <c r="Q16" s="255"/>
      <c r="R16" s="144"/>
    </row>
    <row r="17" spans="1:18" s="150" customFormat="1" ht="18.75" customHeight="1">
      <c r="A17" s="744">
        <v>12</v>
      </c>
      <c r="B17" s="740"/>
      <c r="C17" s="243"/>
      <c r="D17" s="735"/>
      <c r="E17" s="733">
        <f t="shared" si="2"/>
        <v>0</v>
      </c>
      <c r="F17" s="739"/>
      <c r="G17" s="738">
        <f t="shared" si="3"/>
        <v>0</v>
      </c>
      <c r="H17" s="310"/>
      <c r="I17" s="310"/>
      <c r="J17" s="308"/>
      <c r="K17" s="309"/>
      <c r="L17" s="309"/>
      <c r="M17" s="310"/>
      <c r="N17" s="310"/>
      <c r="O17" s="253"/>
      <c r="P17" s="254"/>
      <c r="Q17" s="255"/>
      <c r="R17" s="144"/>
    </row>
    <row r="18" spans="1:18" s="150" customFormat="1" ht="18.75" customHeight="1">
      <c r="A18" s="249"/>
      <c r="B18" s="742"/>
      <c r="C18" s="148"/>
      <c r="D18" s="732"/>
      <c r="E18" s="732"/>
      <c r="F18" s="741"/>
      <c r="G18" s="741"/>
      <c r="H18" s="312"/>
      <c r="I18" s="312"/>
      <c r="J18" s="311"/>
      <c r="K18" s="311"/>
      <c r="L18" s="312"/>
      <c r="M18" s="312"/>
      <c r="N18" s="312"/>
      <c r="O18" s="741"/>
      <c r="P18" s="741"/>
      <c r="Q18" s="741"/>
      <c r="R18" s="249"/>
    </row>
    <row r="19" spans="1:18" s="305" customFormat="1" ht="18.75" customHeight="1">
      <c r="A19" s="846" t="s">
        <v>19</v>
      </c>
      <c r="B19" s="847"/>
      <c r="C19" s="847"/>
      <c r="D19" s="261">
        <f>SUM(D4:D18)</f>
        <v>0</v>
      </c>
      <c r="E19" s="261">
        <f>SUM(E4:E18)</f>
        <v>15538</v>
      </c>
      <c r="F19" s="262"/>
      <c r="G19" s="552">
        <f>SUM(G4:G18)</f>
        <v>55448.4</v>
      </c>
      <c r="H19" s="261">
        <f>SUM(H4:H18)</f>
        <v>0</v>
      </c>
      <c r="I19" s="261">
        <f>SUM(I4:I18)</f>
        <v>0</v>
      </c>
      <c r="J19" s="262"/>
      <c r="K19" s="262">
        <f>SUM(K4:K18)</f>
        <v>32</v>
      </c>
      <c r="L19" s="262">
        <f>SUM(L4:L18)</f>
        <v>21166</v>
      </c>
      <c r="M19" s="262"/>
      <c r="N19" s="261">
        <f>SUM(N4:N18)</f>
        <v>480256540</v>
      </c>
      <c r="O19" s="261"/>
      <c r="P19" s="261">
        <f>SUM(P4:P18)</f>
        <v>0</v>
      </c>
      <c r="Q19" s="261">
        <f>SUM(Q4:Q18)</f>
        <v>0</v>
      </c>
      <c r="R19" s="262"/>
    </row>
    <row r="20" spans="1:18" ht="18.75" customHeight="1">
      <c r="B20" s="162"/>
    </row>
    <row r="21" spans="1:18" s="237" customFormat="1" ht="18.75" customHeight="1">
      <c r="H21" s="462"/>
      <c r="I21" s="462"/>
      <c r="J21" s="305"/>
      <c r="K21" s="305"/>
      <c r="L21" s="463">
        <f>G19-L19</f>
        <v>34282.400000000001</v>
      </c>
      <c r="M21" s="305"/>
      <c r="N21" s="734" t="s">
        <v>463</v>
      </c>
      <c r="O21" s="259"/>
      <c r="P21" s="259"/>
      <c r="Q21" s="259"/>
      <c r="R21" s="736"/>
    </row>
    <row r="22" spans="1:18" ht="18.75" customHeight="1">
      <c r="H22" s="259"/>
      <c r="I22" s="259"/>
      <c r="O22" s="306"/>
      <c r="P22" s="306"/>
      <c r="Q22" s="306"/>
      <c r="R22" s="259"/>
    </row>
    <row r="23" spans="1:18" ht="18" customHeight="1">
      <c r="L23" s="649"/>
      <c r="R23" s="307"/>
    </row>
    <row r="24" spans="1:18" ht="18" customHeight="1">
      <c r="R24" s="307"/>
    </row>
  </sheetData>
  <autoFilter ref="A3:R17"/>
  <mergeCells count="19">
    <mergeCell ref="A19:C19"/>
    <mergeCell ref="B4:B5"/>
    <mergeCell ref="A4:A5"/>
    <mergeCell ref="J2:N2"/>
    <mergeCell ref="O2:Q2"/>
    <mergeCell ref="B8:B9"/>
    <mergeCell ref="A8:A9"/>
    <mergeCell ref="J4:J6"/>
    <mergeCell ref="K4:K6"/>
    <mergeCell ref="L4:L6"/>
    <mergeCell ref="M4:M6"/>
    <mergeCell ref="N4:N6"/>
    <mergeCell ref="R2:R3"/>
    <mergeCell ref="A2:A3"/>
    <mergeCell ref="B2:B3"/>
    <mergeCell ref="D2:G2"/>
    <mergeCell ref="H2:H3"/>
    <mergeCell ref="I2:I3"/>
    <mergeCell ref="C2:C3"/>
  </mergeCells>
  <pageMargins left="0.16" right="0.16" top="0.11" bottom="0.16" header="0.3" footer="0.3"/>
  <pageSetup paperSize="9" scale="7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O105"/>
  <sheetViews>
    <sheetView zoomScale="90" zoomScaleNormal="90" workbookViewId="0">
      <selection activeCell="E38" sqref="E38"/>
    </sheetView>
  </sheetViews>
  <sheetFormatPr defaultColWidth="9.140625" defaultRowHeight="15"/>
  <cols>
    <col min="1" max="1" width="4.28515625" style="335" customWidth="1"/>
    <col min="2" max="2" width="35.28515625" style="335" customWidth="1"/>
    <col min="3" max="3" width="10.28515625" style="340" customWidth="1"/>
    <col min="4" max="4" width="8" style="341" customWidth="1"/>
    <col min="5" max="5" width="12.7109375" style="341" customWidth="1"/>
    <col min="6" max="6" width="12.5703125" style="335" customWidth="1"/>
    <col min="7" max="7" width="11.7109375" style="334" customWidth="1"/>
    <col min="8" max="8" width="0.7109375" style="334" customWidth="1"/>
    <col min="9" max="9" width="4.42578125" style="335" customWidth="1"/>
    <col min="10" max="10" width="9.140625" style="335" customWidth="1"/>
    <col min="11" max="11" width="16.85546875" style="335" customWidth="1"/>
    <col min="12" max="12" width="7.7109375" style="335" customWidth="1"/>
    <col min="13" max="13" width="9" style="335" customWidth="1"/>
    <col min="14" max="14" width="8" style="335" customWidth="1"/>
    <col min="15" max="15" width="12.5703125" style="335" customWidth="1"/>
    <col min="16" max="16384" width="9.140625" style="335"/>
  </cols>
  <sheetData>
    <row r="2" spans="1:15" ht="24.75" customHeight="1">
      <c r="A2" s="803" t="s">
        <v>0</v>
      </c>
      <c r="B2" s="803" t="s">
        <v>21</v>
      </c>
      <c r="C2" s="855" t="s">
        <v>50</v>
      </c>
      <c r="D2" s="815" t="s">
        <v>51</v>
      </c>
      <c r="E2" s="815" t="s">
        <v>9</v>
      </c>
      <c r="F2" s="815" t="s">
        <v>117</v>
      </c>
      <c r="G2" s="815" t="s">
        <v>52</v>
      </c>
      <c r="H2" s="559"/>
      <c r="I2" s="803" t="s">
        <v>0</v>
      </c>
      <c r="J2" s="803" t="s">
        <v>1</v>
      </c>
      <c r="K2" s="803" t="s">
        <v>21</v>
      </c>
      <c r="L2" s="855" t="s">
        <v>83</v>
      </c>
      <c r="M2" s="855" t="s">
        <v>7</v>
      </c>
      <c r="N2" s="815" t="s">
        <v>8</v>
      </c>
      <c r="O2" s="815" t="s">
        <v>9</v>
      </c>
    </row>
    <row r="3" spans="1:15" ht="23.25" customHeight="1">
      <c r="A3" s="803"/>
      <c r="B3" s="803"/>
      <c r="C3" s="855"/>
      <c r="D3" s="815"/>
      <c r="E3" s="815"/>
      <c r="F3" s="815"/>
      <c r="G3" s="815"/>
      <c r="H3" s="559"/>
      <c r="I3" s="803"/>
      <c r="J3" s="803"/>
      <c r="K3" s="803"/>
      <c r="L3" s="855"/>
      <c r="M3" s="855"/>
      <c r="N3" s="815"/>
      <c r="O3" s="815"/>
    </row>
    <row r="4" spans="1:15" ht="18" customHeight="1">
      <c r="A4" s="710">
        <v>1</v>
      </c>
      <c r="B4" s="264" t="s">
        <v>1201</v>
      </c>
      <c r="C4" s="510">
        <v>21166</v>
      </c>
      <c r="D4" s="511">
        <v>22690</v>
      </c>
      <c r="E4" s="511">
        <f>C4*D4</f>
        <v>480256540</v>
      </c>
      <c r="F4" s="512"/>
      <c r="G4" s="511"/>
      <c r="H4" s="559"/>
      <c r="I4" s="710">
        <v>1</v>
      </c>
      <c r="J4" s="747">
        <v>43104</v>
      </c>
      <c r="K4" s="243" t="s">
        <v>1215</v>
      </c>
      <c r="L4" s="748">
        <v>10</v>
      </c>
      <c r="M4" s="757">
        <v>130</v>
      </c>
      <c r="N4" s="511">
        <v>50000</v>
      </c>
      <c r="O4" s="511">
        <f>M4*N4</f>
        <v>6500000</v>
      </c>
    </row>
    <row r="5" spans="1:15" ht="18" customHeight="1">
      <c r="A5" s="710">
        <v>2</v>
      </c>
      <c r="B5" s="253" t="s">
        <v>1231</v>
      </c>
      <c r="C5" s="309"/>
      <c r="D5" s="255"/>
      <c r="E5" s="255"/>
      <c r="F5" s="254">
        <v>5000000</v>
      </c>
      <c r="G5" s="255"/>
      <c r="H5" s="559"/>
      <c r="I5" s="710">
        <v>2</v>
      </c>
      <c r="J5" s="747">
        <v>43104</v>
      </c>
      <c r="K5" s="243" t="s">
        <v>1216</v>
      </c>
      <c r="L5" s="243">
        <v>10</v>
      </c>
      <c r="M5" s="758">
        <v>150</v>
      </c>
      <c r="N5" s="255">
        <v>90000</v>
      </c>
      <c r="O5" s="511">
        <f t="shared" ref="O5" si="0">M5*N5</f>
        <v>13500000</v>
      </c>
    </row>
    <row r="6" spans="1:15" ht="18" customHeight="1">
      <c r="A6" s="710">
        <v>3</v>
      </c>
      <c r="B6" s="253" t="s">
        <v>1218</v>
      </c>
      <c r="C6" s="309"/>
      <c r="D6" s="255"/>
      <c r="E6" s="255"/>
      <c r="F6" s="254">
        <f>4500*2500</f>
        <v>11250000</v>
      </c>
      <c r="G6" s="255"/>
      <c r="H6" s="559"/>
      <c r="I6" s="710">
        <v>3</v>
      </c>
      <c r="J6" s="747">
        <v>43130</v>
      </c>
      <c r="K6" s="243" t="s">
        <v>1215</v>
      </c>
      <c r="L6" s="243">
        <v>300</v>
      </c>
      <c r="M6" s="758">
        <v>3900</v>
      </c>
      <c r="N6" s="255">
        <v>50000</v>
      </c>
      <c r="O6" s="511">
        <f t="shared" ref="O6:O10" si="1">M6*N6</f>
        <v>195000000</v>
      </c>
    </row>
    <row r="7" spans="1:15" ht="18" customHeight="1">
      <c r="A7" s="710">
        <v>4</v>
      </c>
      <c r="B7" s="253" t="s">
        <v>1219</v>
      </c>
      <c r="C7" s="309"/>
      <c r="D7" s="255"/>
      <c r="E7" s="255"/>
      <c r="F7" s="254">
        <f>6000*2500</f>
        <v>15000000</v>
      </c>
      <c r="G7" s="255"/>
      <c r="H7" s="559"/>
      <c r="I7" s="710">
        <v>4</v>
      </c>
      <c r="J7" s="747">
        <v>43130</v>
      </c>
      <c r="K7" s="243" t="s">
        <v>1217</v>
      </c>
      <c r="L7" s="243">
        <v>21</v>
      </c>
      <c r="M7" s="758">
        <f>21*13</f>
        <v>273</v>
      </c>
      <c r="N7" s="255">
        <v>80000</v>
      </c>
      <c r="O7" s="511">
        <f t="shared" si="1"/>
        <v>21840000</v>
      </c>
    </row>
    <row r="8" spans="1:15" ht="18" customHeight="1">
      <c r="A8" s="710">
        <v>5</v>
      </c>
      <c r="B8" s="253" t="s">
        <v>1230</v>
      </c>
      <c r="C8" s="309"/>
      <c r="D8" s="255"/>
      <c r="E8" s="255"/>
      <c r="F8" s="254">
        <f>4758*2500</f>
        <v>11895000</v>
      </c>
      <c r="G8" s="255"/>
      <c r="H8" s="559"/>
      <c r="I8" s="710">
        <v>5</v>
      </c>
      <c r="J8" s="747">
        <v>43130</v>
      </c>
      <c r="K8" s="243" t="s">
        <v>1225</v>
      </c>
      <c r="L8" s="243">
        <v>20</v>
      </c>
      <c r="M8" s="758">
        <f>20*13</f>
        <v>260</v>
      </c>
      <c r="N8" s="255">
        <v>95000</v>
      </c>
      <c r="O8" s="511">
        <f t="shared" si="1"/>
        <v>24700000</v>
      </c>
    </row>
    <row r="9" spans="1:15" ht="18" customHeight="1">
      <c r="A9" s="710"/>
      <c r="B9" s="256"/>
      <c r="C9" s="310"/>
      <c r="D9" s="255"/>
      <c r="E9" s="255"/>
      <c r="F9" s="254"/>
      <c r="G9" s="255"/>
      <c r="H9" s="559"/>
      <c r="I9" s="710">
        <v>6</v>
      </c>
      <c r="J9" s="747">
        <v>43130</v>
      </c>
      <c r="K9" s="243" t="s">
        <v>1226</v>
      </c>
      <c r="L9" s="243">
        <v>9</v>
      </c>
      <c r="M9" s="758">
        <f>9*13</f>
        <v>117</v>
      </c>
      <c r="N9" s="255">
        <v>75000</v>
      </c>
      <c r="O9" s="511">
        <f>M9*N9</f>
        <v>8775000</v>
      </c>
    </row>
    <row r="10" spans="1:15" ht="18" customHeight="1">
      <c r="A10" s="710"/>
      <c r="B10" s="256"/>
      <c r="C10" s="310"/>
      <c r="D10" s="255"/>
      <c r="E10" s="255"/>
      <c r="F10" s="254"/>
      <c r="G10" s="255"/>
      <c r="H10" s="559"/>
      <c r="I10" s="710">
        <v>7</v>
      </c>
      <c r="J10" s="747">
        <v>43130</v>
      </c>
      <c r="K10" s="756" t="s">
        <v>1227</v>
      </c>
      <c r="L10" s="756">
        <v>16</v>
      </c>
      <c r="M10" s="758">
        <f>16*13</f>
        <v>208</v>
      </c>
      <c r="N10" s="255">
        <v>80000</v>
      </c>
      <c r="O10" s="511">
        <f t="shared" si="1"/>
        <v>16640000</v>
      </c>
    </row>
    <row r="11" spans="1:15" ht="18" customHeight="1">
      <c r="A11" s="710"/>
      <c r="B11" s="256"/>
      <c r="C11" s="310"/>
      <c r="D11" s="255"/>
      <c r="E11" s="255"/>
      <c r="F11" s="254"/>
      <c r="G11" s="255"/>
      <c r="H11" s="559"/>
      <c r="I11" s="710"/>
      <c r="J11" s="747"/>
      <c r="K11" s="256"/>
      <c r="L11" s="256"/>
      <c r="M11" s="310"/>
      <c r="N11" s="255"/>
      <c r="O11" s="255"/>
    </row>
    <row r="12" spans="1:15" ht="18" customHeight="1">
      <c r="A12" s="376"/>
      <c r="B12" s="376" t="s">
        <v>57</v>
      </c>
      <c r="C12" s="262">
        <f>SUM(C4:C11)</f>
        <v>21166</v>
      </c>
      <c r="D12" s="262"/>
      <c r="E12" s="261">
        <f>SUM(E4:E11)</f>
        <v>480256540</v>
      </c>
      <c r="F12" s="261">
        <f>SUM(F4:F11)</f>
        <v>43145000</v>
      </c>
      <c r="G12" s="261">
        <f>SUM(G4:G11)</f>
        <v>0</v>
      </c>
      <c r="H12" s="559"/>
      <c r="I12" s="376"/>
      <c r="J12" s="376"/>
      <c r="K12" s="376" t="s">
        <v>57</v>
      </c>
      <c r="L12" s="376"/>
      <c r="M12" s="552">
        <f>SUM(M4:M11)</f>
        <v>5038</v>
      </c>
      <c r="N12" s="262"/>
      <c r="O12" s="261">
        <f>SUM(O4:O11)</f>
        <v>286955000</v>
      </c>
    </row>
    <row r="13" spans="1:15">
      <c r="A13" s="534"/>
      <c r="B13" s="534"/>
      <c r="C13" s="535"/>
      <c r="D13" s="536"/>
      <c r="E13" s="536"/>
      <c r="F13" s="534"/>
      <c r="G13" s="581"/>
      <c r="H13" s="559"/>
    </row>
    <row r="14" spans="1:15">
      <c r="A14" s="534"/>
      <c r="B14" s="582"/>
      <c r="C14" s="535"/>
      <c r="D14" s="536"/>
      <c r="E14" s="536"/>
      <c r="F14" s="534"/>
      <c r="G14" s="581"/>
      <c r="H14" s="559"/>
    </row>
    <row r="15" spans="1:15" ht="15" customHeight="1">
      <c r="A15" s="534"/>
      <c r="B15" s="534" t="s">
        <v>929</v>
      </c>
      <c r="C15" s="535">
        <f>C12</f>
        <v>21166</v>
      </c>
      <c r="D15" s="536"/>
      <c r="E15" s="536"/>
      <c r="F15" s="853">
        <f>E12</f>
        <v>480256540</v>
      </c>
      <c r="G15" s="853"/>
      <c r="H15" s="559"/>
    </row>
    <row r="16" spans="1:15">
      <c r="A16" s="534"/>
      <c r="B16" s="534"/>
      <c r="C16" s="535"/>
      <c r="D16" s="536"/>
      <c r="E16" s="536"/>
      <c r="F16" s="534"/>
      <c r="G16" s="581"/>
      <c r="H16" s="559"/>
    </row>
    <row r="17" spans="1:8">
      <c r="A17" s="583"/>
      <c r="B17" s="583" t="s">
        <v>1228</v>
      </c>
      <c r="C17" s="583"/>
      <c r="D17" s="583"/>
      <c r="E17" s="583"/>
      <c r="F17" s="853">
        <f>F12</f>
        <v>43145000</v>
      </c>
      <c r="G17" s="853"/>
      <c r="H17" s="559"/>
    </row>
    <row r="18" spans="1:8">
      <c r="A18" s="583"/>
      <c r="B18" s="583"/>
      <c r="C18" s="583"/>
      <c r="D18" s="583"/>
      <c r="E18" s="583"/>
      <c r="F18" s="583"/>
      <c r="G18" s="583"/>
      <c r="H18" s="559"/>
    </row>
    <row r="19" spans="1:8">
      <c r="A19" s="583"/>
      <c r="B19" s="583" t="s">
        <v>1229</v>
      </c>
      <c r="C19" s="583"/>
      <c r="D19" s="583"/>
      <c r="E19" s="583"/>
      <c r="F19" s="934">
        <f>O12</f>
        <v>286955000</v>
      </c>
      <c r="G19" s="934"/>
      <c r="H19" s="559"/>
    </row>
    <row r="20" spans="1:8">
      <c r="A20" s="583"/>
      <c r="B20" s="583"/>
      <c r="C20" s="583"/>
      <c r="D20" s="583"/>
      <c r="E20" s="583"/>
      <c r="F20" s="583"/>
      <c r="G20" s="583"/>
      <c r="H20" s="559"/>
    </row>
    <row r="21" spans="1:8">
      <c r="A21" s="583"/>
      <c r="B21" s="583" t="s">
        <v>960</v>
      </c>
      <c r="C21" s="583"/>
      <c r="D21" s="583"/>
      <c r="E21" s="583"/>
      <c r="F21" s="853">
        <f>G12</f>
        <v>0</v>
      </c>
      <c r="G21" s="853"/>
      <c r="H21" s="559"/>
    </row>
    <row r="22" spans="1:8">
      <c r="A22" s="560"/>
      <c r="B22" s="560"/>
      <c r="C22" s="560"/>
      <c r="D22" s="560"/>
      <c r="E22" s="560"/>
      <c r="F22" s="854"/>
      <c r="G22" s="854"/>
      <c r="H22" s="559"/>
    </row>
    <row r="23" spans="1:8">
      <c r="A23" s="560"/>
      <c r="B23" s="560"/>
      <c r="C23" s="560"/>
      <c r="D23" s="560"/>
      <c r="E23" s="560"/>
      <c r="F23" s="853"/>
      <c r="G23" s="853"/>
      <c r="H23" s="559"/>
    </row>
    <row r="24" spans="1:8">
      <c r="A24" s="559"/>
      <c r="B24" s="560" t="s">
        <v>930</v>
      </c>
      <c r="C24" s="559"/>
      <c r="D24" s="559"/>
      <c r="E24" s="559"/>
      <c r="F24" s="853">
        <f>F15-SUM(F17:G22)</f>
        <v>150156540</v>
      </c>
      <c r="G24" s="853"/>
      <c r="H24" s="559"/>
    </row>
    <row r="25" spans="1:8">
      <c r="A25" s="559"/>
      <c r="B25" s="559"/>
      <c r="C25" s="559"/>
      <c r="D25" s="559"/>
      <c r="E25" s="559"/>
      <c r="F25" s="559"/>
      <c r="G25" s="559"/>
      <c r="H25" s="559"/>
    </row>
    <row r="26" spans="1:8">
      <c r="A26" s="559"/>
      <c r="B26" s="559"/>
      <c r="C26" s="559"/>
      <c r="D26" s="559"/>
      <c r="E26" s="559"/>
      <c r="F26" s="559"/>
      <c r="G26" s="559"/>
      <c r="H26" s="559"/>
    </row>
    <row r="27" spans="1:8" s="534" customFormat="1" ht="14.25">
      <c r="A27" s="559"/>
      <c r="B27" s="560" t="s">
        <v>1204</v>
      </c>
      <c r="C27" s="743"/>
      <c r="D27" s="560"/>
      <c r="E27" s="743">
        <f>'HUNAM (MB) - 2018'!L21</f>
        <v>34282.400000000001</v>
      </c>
      <c r="F27" s="560" t="s">
        <v>1205</v>
      </c>
      <c r="G27" s="755"/>
      <c r="H27" s="560"/>
    </row>
    <row r="28" spans="1:8">
      <c r="A28" s="559"/>
      <c r="B28" s="559"/>
      <c r="C28" s="559"/>
      <c r="D28" s="559"/>
      <c r="E28" s="559"/>
      <c r="F28" s="559"/>
      <c r="G28" s="559" t="s">
        <v>1224</v>
      </c>
      <c r="H28" s="559"/>
    </row>
    <row r="29" spans="1:8">
      <c r="A29" s="559"/>
      <c r="B29" s="559"/>
      <c r="C29" s="559"/>
      <c r="D29" s="559"/>
      <c r="E29" s="559"/>
      <c r="F29" s="559"/>
      <c r="G29" s="559"/>
      <c r="H29" s="559"/>
    </row>
    <row r="30" spans="1:8">
      <c r="A30" s="559"/>
      <c r="B30" s="559"/>
      <c r="C30" s="559"/>
      <c r="D30" s="559"/>
      <c r="E30" s="559"/>
      <c r="F30" s="559"/>
      <c r="G30" s="559"/>
      <c r="H30" s="559"/>
    </row>
    <row r="31" spans="1:8">
      <c r="A31" s="559"/>
      <c r="B31" s="559"/>
      <c r="C31" s="559"/>
      <c r="D31" s="559"/>
      <c r="E31" s="559"/>
      <c r="F31" s="559"/>
      <c r="G31" s="559"/>
      <c r="H31" s="559"/>
    </row>
    <row r="32" spans="1:8">
      <c r="A32" s="559"/>
      <c r="B32" s="559"/>
      <c r="C32" s="559"/>
      <c r="D32" s="559"/>
      <c r="E32" s="559"/>
      <c r="F32" s="559"/>
      <c r="G32" s="559"/>
      <c r="H32" s="559"/>
    </row>
    <row r="33" spans="1:8">
      <c r="A33" s="559"/>
      <c r="B33" s="559"/>
      <c r="C33" s="559"/>
      <c r="D33" s="559"/>
      <c r="E33" s="559"/>
      <c r="F33" s="559"/>
      <c r="G33" s="559"/>
      <c r="H33" s="559"/>
    </row>
    <row r="34" spans="1:8">
      <c r="A34" s="559"/>
      <c r="B34" s="559"/>
      <c r="C34" s="559"/>
      <c r="D34" s="559"/>
      <c r="E34" s="559"/>
      <c r="F34" s="559"/>
      <c r="G34" s="559"/>
      <c r="H34" s="559"/>
    </row>
    <row r="35" spans="1:8">
      <c r="A35" s="559"/>
      <c r="B35" s="559"/>
      <c r="C35" s="559"/>
      <c r="D35" s="559"/>
      <c r="E35" s="559"/>
      <c r="F35" s="559"/>
      <c r="G35" s="559"/>
      <c r="H35" s="559"/>
    </row>
    <row r="36" spans="1:8">
      <c r="A36" s="559"/>
      <c r="B36" s="559"/>
      <c r="C36" s="559"/>
      <c r="D36" s="559"/>
      <c r="E36" s="559"/>
      <c r="F36" s="559"/>
      <c r="G36" s="559"/>
      <c r="H36" s="559"/>
    </row>
    <row r="37" spans="1:8">
      <c r="A37" s="559"/>
      <c r="B37" s="559"/>
      <c r="C37" s="559"/>
      <c r="D37" s="559"/>
      <c r="E37" s="559"/>
      <c r="F37" s="559"/>
      <c r="G37" s="559"/>
      <c r="H37" s="559"/>
    </row>
    <row r="38" spans="1:8">
      <c r="A38" s="559"/>
      <c r="B38" s="559"/>
      <c r="C38" s="559"/>
      <c r="D38" s="559"/>
      <c r="E38" s="559"/>
      <c r="F38" s="559"/>
      <c r="G38" s="559"/>
      <c r="H38" s="559"/>
    </row>
    <row r="39" spans="1:8">
      <c r="A39" s="559"/>
      <c r="B39" s="559"/>
      <c r="C39" s="559"/>
      <c r="D39" s="559"/>
      <c r="E39" s="559"/>
      <c r="F39" s="559"/>
      <c r="G39" s="559"/>
      <c r="H39" s="559"/>
    </row>
    <row r="40" spans="1:8">
      <c r="A40" s="559"/>
      <c r="B40" s="559"/>
      <c r="C40" s="559"/>
      <c r="D40" s="559"/>
      <c r="E40" s="559"/>
      <c r="F40" s="559"/>
      <c r="G40" s="559"/>
      <c r="H40" s="559"/>
    </row>
    <row r="41" spans="1:8">
      <c r="A41" s="559"/>
      <c r="B41" s="559"/>
      <c r="C41" s="559"/>
      <c r="D41" s="559"/>
      <c r="E41" s="559"/>
      <c r="F41" s="559"/>
      <c r="G41" s="559"/>
      <c r="H41" s="559"/>
    </row>
    <row r="42" spans="1:8">
      <c r="A42" s="559"/>
      <c r="B42" s="559"/>
      <c r="C42" s="559"/>
      <c r="D42" s="559"/>
      <c r="E42" s="559"/>
      <c r="F42" s="559"/>
      <c r="G42" s="559"/>
      <c r="H42" s="559"/>
    </row>
    <row r="43" spans="1:8">
      <c r="A43" s="559"/>
      <c r="B43" s="559"/>
      <c r="C43" s="559"/>
      <c r="D43" s="559"/>
      <c r="E43" s="559"/>
      <c r="F43" s="559"/>
      <c r="G43" s="559"/>
      <c r="H43" s="559"/>
    </row>
    <row r="44" spans="1:8">
      <c r="A44" s="559"/>
      <c r="B44" s="559"/>
      <c r="C44" s="559"/>
      <c r="D44" s="559"/>
      <c r="E44" s="559"/>
      <c r="F44" s="559"/>
      <c r="G44" s="559"/>
      <c r="H44" s="559"/>
    </row>
    <row r="45" spans="1:8">
      <c r="A45" s="559"/>
      <c r="B45" s="559"/>
      <c r="C45" s="559"/>
      <c r="D45" s="559"/>
      <c r="E45" s="559"/>
      <c r="F45" s="559"/>
      <c r="G45" s="559"/>
      <c r="H45" s="559"/>
    </row>
    <row r="46" spans="1:8">
      <c r="A46" s="559"/>
      <c r="B46" s="559"/>
      <c r="C46" s="559"/>
      <c r="D46" s="559"/>
      <c r="E46" s="559"/>
      <c r="F46" s="559"/>
      <c r="G46" s="559"/>
      <c r="H46" s="559"/>
    </row>
    <row r="47" spans="1:8">
      <c r="A47" s="559"/>
      <c r="B47" s="559"/>
      <c r="C47" s="559"/>
      <c r="D47" s="559"/>
      <c r="E47" s="559"/>
      <c r="F47" s="559"/>
      <c r="G47" s="559"/>
      <c r="H47" s="559"/>
    </row>
    <row r="48" spans="1:8">
      <c r="A48" s="559"/>
      <c r="B48" s="559"/>
      <c r="C48" s="559"/>
      <c r="D48" s="559"/>
      <c r="E48" s="559"/>
      <c r="F48" s="559"/>
      <c r="G48" s="559"/>
      <c r="H48" s="559"/>
    </row>
    <row r="49" spans="1:8">
      <c r="A49" s="559"/>
      <c r="B49" s="559"/>
      <c r="C49" s="559"/>
      <c r="D49" s="559"/>
      <c r="E49" s="559"/>
      <c r="F49" s="559"/>
      <c r="G49" s="559"/>
      <c r="H49" s="559"/>
    </row>
    <row r="50" spans="1:8">
      <c r="A50" s="559"/>
      <c r="B50" s="559"/>
      <c r="C50" s="559"/>
      <c r="D50" s="559"/>
      <c r="E50" s="559"/>
      <c r="F50" s="559"/>
      <c r="G50" s="559"/>
      <c r="H50" s="559"/>
    </row>
    <row r="51" spans="1:8">
      <c r="A51" s="559"/>
      <c r="B51" s="559"/>
      <c r="C51" s="559"/>
      <c r="D51" s="559"/>
      <c r="E51" s="559"/>
      <c r="F51" s="559"/>
      <c r="G51" s="559"/>
      <c r="H51" s="559"/>
    </row>
    <row r="52" spans="1:8">
      <c r="A52" s="559"/>
      <c r="B52" s="559"/>
      <c r="C52" s="559"/>
      <c r="D52" s="559"/>
      <c r="E52" s="559"/>
      <c r="F52" s="559"/>
      <c r="G52" s="559"/>
      <c r="H52" s="559"/>
    </row>
    <row r="53" spans="1:8">
      <c r="A53" s="559"/>
      <c r="B53" s="559"/>
      <c r="C53" s="559"/>
      <c r="D53" s="559"/>
      <c r="E53" s="559"/>
      <c r="F53" s="559"/>
      <c r="G53" s="559"/>
      <c r="H53" s="559"/>
    </row>
    <row r="54" spans="1:8">
      <c r="A54" s="559"/>
      <c r="B54" s="559"/>
      <c r="C54" s="559"/>
      <c r="D54" s="559"/>
      <c r="E54" s="559"/>
      <c r="F54" s="559"/>
      <c r="G54" s="559"/>
      <c r="H54" s="559"/>
    </row>
    <row r="55" spans="1:8">
      <c r="A55" s="559"/>
      <c r="B55" s="559"/>
      <c r="C55" s="559"/>
      <c r="D55" s="559"/>
      <c r="E55" s="559"/>
      <c r="F55" s="559"/>
      <c r="G55" s="559"/>
      <c r="H55" s="559"/>
    </row>
    <row r="56" spans="1:8">
      <c r="A56" s="559"/>
      <c r="B56" s="559"/>
      <c r="C56" s="559"/>
      <c r="D56" s="559"/>
      <c r="E56" s="559"/>
      <c r="F56" s="559"/>
      <c r="G56" s="559"/>
      <c r="H56" s="559"/>
    </row>
    <row r="57" spans="1:8">
      <c r="A57" s="559"/>
      <c r="B57" s="559"/>
      <c r="C57" s="559"/>
      <c r="D57" s="559"/>
      <c r="E57" s="559"/>
      <c r="F57" s="559"/>
      <c r="G57" s="559"/>
      <c r="H57" s="559"/>
    </row>
    <row r="58" spans="1:8">
      <c r="A58" s="559"/>
      <c r="B58" s="559"/>
      <c r="C58" s="559"/>
      <c r="D58" s="559"/>
      <c r="E58" s="559"/>
      <c r="F58" s="559"/>
      <c r="G58" s="559"/>
      <c r="H58" s="559"/>
    </row>
    <row r="59" spans="1:8">
      <c r="A59" s="559"/>
      <c r="B59" s="559"/>
      <c r="C59" s="559"/>
      <c r="D59" s="559"/>
      <c r="E59" s="559"/>
      <c r="F59" s="559"/>
      <c r="G59" s="559"/>
      <c r="H59" s="559"/>
    </row>
    <row r="60" spans="1:8">
      <c r="A60" s="559"/>
      <c r="B60" s="559"/>
      <c r="C60" s="559"/>
      <c r="D60" s="559"/>
      <c r="E60" s="559"/>
      <c r="F60" s="559"/>
      <c r="G60" s="559"/>
      <c r="H60" s="559"/>
    </row>
    <row r="61" spans="1:8">
      <c r="A61" s="559"/>
      <c r="B61" s="559"/>
      <c r="C61" s="559"/>
      <c r="D61" s="559"/>
      <c r="E61" s="559"/>
      <c r="F61" s="559"/>
      <c r="G61" s="559"/>
      <c r="H61" s="559"/>
    </row>
    <row r="62" spans="1:8">
      <c r="A62" s="559"/>
      <c r="B62" s="559"/>
      <c r="C62" s="559"/>
      <c r="D62" s="559"/>
      <c r="E62" s="559"/>
      <c r="F62" s="559"/>
      <c r="G62" s="559"/>
      <c r="H62" s="559"/>
    </row>
    <row r="63" spans="1:8">
      <c r="A63" s="559"/>
      <c r="B63" s="559"/>
      <c r="C63" s="559"/>
      <c r="D63" s="559"/>
      <c r="E63" s="559"/>
      <c r="F63" s="559"/>
      <c r="G63" s="559"/>
      <c r="H63" s="559"/>
    </row>
    <row r="64" spans="1:8">
      <c r="A64" s="559"/>
      <c r="B64" s="559"/>
      <c r="C64" s="559"/>
      <c r="D64" s="559"/>
      <c r="E64" s="559"/>
      <c r="F64" s="559"/>
      <c r="G64" s="559"/>
      <c r="H64" s="559"/>
    </row>
    <row r="65" spans="1:8">
      <c r="A65" s="559"/>
      <c r="B65" s="559"/>
      <c r="C65" s="559"/>
      <c r="D65" s="559"/>
      <c r="E65" s="559"/>
      <c r="F65" s="559"/>
      <c r="G65" s="559"/>
      <c r="H65" s="559"/>
    </row>
    <row r="66" spans="1:8">
      <c r="A66" s="559"/>
      <c r="B66" s="559"/>
      <c r="C66" s="559"/>
      <c r="D66" s="559"/>
      <c r="E66" s="559"/>
      <c r="F66" s="559"/>
      <c r="G66" s="559"/>
      <c r="H66" s="559"/>
    </row>
    <row r="67" spans="1:8">
      <c r="A67" s="559"/>
      <c r="B67" s="559"/>
      <c r="C67" s="559"/>
      <c r="D67" s="559"/>
      <c r="E67" s="559"/>
      <c r="F67" s="559"/>
      <c r="G67" s="559"/>
      <c r="H67" s="559"/>
    </row>
    <row r="68" spans="1:8">
      <c r="A68" s="559"/>
      <c r="B68" s="559"/>
      <c r="C68" s="559"/>
      <c r="D68" s="559"/>
      <c r="E68" s="559"/>
      <c r="F68" s="559"/>
      <c r="G68" s="559"/>
      <c r="H68" s="559"/>
    </row>
    <row r="69" spans="1:8">
      <c r="A69" s="559"/>
      <c r="B69" s="559"/>
      <c r="C69" s="559"/>
      <c r="D69" s="559"/>
      <c r="E69" s="559"/>
      <c r="F69" s="559"/>
      <c r="G69" s="559"/>
      <c r="H69" s="559"/>
    </row>
    <row r="70" spans="1:8">
      <c r="A70" s="559"/>
      <c r="B70" s="559"/>
      <c r="C70" s="559"/>
      <c r="D70" s="559"/>
      <c r="E70" s="559"/>
      <c r="F70" s="559"/>
      <c r="G70" s="559"/>
      <c r="H70" s="559"/>
    </row>
    <row r="71" spans="1:8">
      <c r="A71" s="559"/>
      <c r="B71" s="559"/>
      <c r="C71" s="559"/>
      <c r="D71" s="559"/>
      <c r="E71" s="559"/>
      <c r="F71" s="559"/>
      <c r="G71" s="559"/>
      <c r="H71" s="559"/>
    </row>
    <row r="72" spans="1:8">
      <c r="A72" s="559"/>
      <c r="B72" s="559"/>
      <c r="C72" s="559"/>
      <c r="D72" s="559"/>
      <c r="E72" s="559"/>
      <c r="F72" s="559"/>
      <c r="G72" s="559"/>
      <c r="H72" s="559"/>
    </row>
    <row r="73" spans="1:8">
      <c r="A73" s="559"/>
      <c r="B73" s="559"/>
      <c r="C73" s="559"/>
      <c r="D73" s="559"/>
      <c r="E73" s="559"/>
      <c r="F73" s="559"/>
      <c r="H73" s="559"/>
    </row>
    <row r="74" spans="1:8">
      <c r="H74" s="559"/>
    </row>
    <row r="75" spans="1:8">
      <c r="H75" s="559"/>
    </row>
    <row r="76" spans="1:8">
      <c r="H76" s="559"/>
    </row>
    <row r="77" spans="1:8">
      <c r="H77" s="559"/>
    </row>
    <row r="78" spans="1:8">
      <c r="H78" s="559"/>
    </row>
    <row r="79" spans="1:8">
      <c r="H79" s="559"/>
    </row>
    <row r="80" spans="1:8">
      <c r="H80" s="559"/>
    </row>
    <row r="81" spans="8:8">
      <c r="H81" s="559"/>
    </row>
    <row r="82" spans="8:8">
      <c r="H82" s="559"/>
    </row>
    <row r="83" spans="8:8">
      <c r="H83" s="559"/>
    </row>
    <row r="84" spans="8:8">
      <c r="H84" s="559"/>
    </row>
    <row r="85" spans="8:8">
      <c r="H85" s="559"/>
    </row>
    <row r="86" spans="8:8">
      <c r="H86" s="559"/>
    </row>
    <row r="87" spans="8:8">
      <c r="H87" s="559"/>
    </row>
    <row r="88" spans="8:8">
      <c r="H88" s="559"/>
    </row>
    <row r="89" spans="8:8">
      <c r="H89" s="559"/>
    </row>
    <row r="90" spans="8:8">
      <c r="H90" s="559"/>
    </row>
    <row r="91" spans="8:8">
      <c r="H91" s="559"/>
    </row>
    <row r="92" spans="8:8">
      <c r="H92" s="559"/>
    </row>
    <row r="93" spans="8:8">
      <c r="H93" s="559"/>
    </row>
    <row r="94" spans="8:8">
      <c r="H94" s="559"/>
    </row>
    <row r="95" spans="8:8">
      <c r="H95" s="559"/>
    </row>
    <row r="96" spans="8:8">
      <c r="H96" s="559"/>
    </row>
    <row r="97" spans="8:8">
      <c r="H97" s="559"/>
    </row>
    <row r="98" spans="8:8">
      <c r="H98" s="559"/>
    </row>
    <row r="99" spans="8:8">
      <c r="H99" s="559"/>
    </row>
    <row r="100" spans="8:8">
      <c r="H100" s="559"/>
    </row>
    <row r="101" spans="8:8">
      <c r="H101" s="559"/>
    </row>
    <row r="102" spans="8:8">
      <c r="H102" s="559"/>
    </row>
    <row r="103" spans="8:8">
      <c r="H103" s="559"/>
    </row>
    <row r="104" spans="8:8">
      <c r="H104" s="559"/>
    </row>
    <row r="105" spans="8:8">
      <c r="H105" s="559"/>
    </row>
  </sheetData>
  <mergeCells count="21">
    <mergeCell ref="F17:G17"/>
    <mergeCell ref="F21:G21"/>
    <mergeCell ref="F22:G22"/>
    <mergeCell ref="F23:G23"/>
    <mergeCell ref="F24:G24"/>
    <mergeCell ref="F19:G19"/>
    <mergeCell ref="N2:N3"/>
    <mergeCell ref="O2:O3"/>
    <mergeCell ref="F15:G15"/>
    <mergeCell ref="G2:G3"/>
    <mergeCell ref="A2:A3"/>
    <mergeCell ref="B2:B3"/>
    <mergeCell ref="C2:C3"/>
    <mergeCell ref="D2:D3"/>
    <mergeCell ref="E2:E3"/>
    <mergeCell ref="F2:F3"/>
    <mergeCell ref="J2:J3"/>
    <mergeCell ref="L2:L3"/>
    <mergeCell ref="I2:I3"/>
    <mergeCell ref="K2:K3"/>
    <mergeCell ref="M2:M3"/>
  </mergeCells>
  <pageMargins left="0.16" right="0.16" top="0.27" bottom="0.16" header="0.16" footer="0"/>
  <pageSetup paperSize="9" scale="9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K198"/>
  <sheetViews>
    <sheetView topLeftCell="A171" workbookViewId="0">
      <selection activeCell="I188" sqref="I188"/>
    </sheetView>
  </sheetViews>
  <sheetFormatPr defaultRowHeight="15"/>
  <cols>
    <col min="1" max="1" width="5.7109375" style="150" customWidth="1"/>
    <col min="2" max="2" width="10.42578125" style="146" customWidth="1"/>
    <col min="3" max="3" width="9.140625" style="146"/>
    <col min="4" max="4" width="24.28515625" style="146" customWidth="1"/>
    <col min="5" max="5" width="9.85546875" style="146" customWidth="1"/>
    <col min="6" max="6" width="10.5703125" style="146" customWidth="1"/>
    <col min="7" max="7" width="13.7109375" style="146" customWidth="1"/>
    <col min="8" max="9" width="12.140625" style="146" customWidth="1"/>
    <col min="10" max="10" width="7.5703125" style="146" customWidth="1"/>
    <col min="11" max="11" width="11.28515625" style="146" bestFit="1" customWidth="1"/>
    <col min="12" max="16384" width="9.140625" style="146"/>
  </cols>
  <sheetData>
    <row r="2" spans="1:11" s="141" customFormat="1" ht="28.5" customHeight="1">
      <c r="A2" s="896" t="s">
        <v>518</v>
      </c>
      <c r="B2" s="896"/>
      <c r="C2" s="896"/>
      <c r="D2" s="896"/>
      <c r="E2" s="896"/>
      <c r="F2" s="896"/>
      <c r="G2" s="896"/>
      <c r="H2" s="896"/>
      <c r="I2" s="896"/>
      <c r="J2" s="896"/>
    </row>
    <row r="3" spans="1:11" s="143" customFormat="1" ht="33.75" customHeight="1">
      <c r="A3" s="302" t="s">
        <v>0</v>
      </c>
      <c r="B3" s="302" t="s">
        <v>205</v>
      </c>
      <c r="C3" s="302" t="s">
        <v>206</v>
      </c>
      <c r="D3" s="302" t="s">
        <v>207</v>
      </c>
      <c r="E3" s="302" t="s">
        <v>7</v>
      </c>
      <c r="F3" s="302" t="s">
        <v>8</v>
      </c>
      <c r="G3" s="302" t="s">
        <v>9</v>
      </c>
      <c r="H3" s="302" t="s">
        <v>208</v>
      </c>
      <c r="I3" s="317" t="s">
        <v>465</v>
      </c>
      <c r="J3" s="302" t="s">
        <v>82</v>
      </c>
    </row>
    <row r="4" spans="1:11" ht="22.5" customHeight="1">
      <c r="A4" s="144">
        <v>1</v>
      </c>
      <c r="B4" s="303">
        <v>42738</v>
      </c>
      <c r="C4" s="152" t="s">
        <v>466</v>
      </c>
      <c r="D4" s="145" t="s">
        <v>218</v>
      </c>
      <c r="E4" s="326">
        <v>2026</v>
      </c>
      <c r="F4" s="138">
        <v>8500</v>
      </c>
      <c r="G4" s="138">
        <f t="shared" ref="G4:G13" si="0">E4*F4</f>
        <v>17221000</v>
      </c>
      <c r="H4" s="138">
        <f t="shared" ref="H4:H13" si="1">G4*10%</f>
        <v>1722100</v>
      </c>
      <c r="I4" s="138">
        <f>G4+H4</f>
        <v>18943100</v>
      </c>
      <c r="J4" s="147"/>
      <c r="K4" s="157"/>
    </row>
    <row r="5" spans="1:11" ht="22.5" customHeight="1">
      <c r="A5" s="144">
        <v>2</v>
      </c>
      <c r="B5" s="303">
        <v>42739</v>
      </c>
      <c r="C5" s="152" t="s">
        <v>467</v>
      </c>
      <c r="D5" s="145" t="s">
        <v>218</v>
      </c>
      <c r="E5" s="326">
        <v>2027</v>
      </c>
      <c r="F5" s="138">
        <v>8500</v>
      </c>
      <c r="G5" s="138">
        <f t="shared" si="0"/>
        <v>17229500</v>
      </c>
      <c r="H5" s="138">
        <f t="shared" si="1"/>
        <v>1722950</v>
      </c>
      <c r="I5" s="138">
        <f t="shared" ref="I5:I13" si="2">G5+H5</f>
        <v>18952450</v>
      </c>
      <c r="J5" s="147"/>
      <c r="K5" s="157"/>
    </row>
    <row r="6" spans="1:11" ht="22.5" customHeight="1">
      <c r="A6" s="144">
        <v>3</v>
      </c>
      <c r="B6" s="303">
        <v>42740</v>
      </c>
      <c r="C6" s="156" t="s">
        <v>468</v>
      </c>
      <c r="D6" s="145" t="s">
        <v>218</v>
      </c>
      <c r="E6" s="326">
        <v>2027</v>
      </c>
      <c r="F6" s="138">
        <v>8500</v>
      </c>
      <c r="G6" s="138">
        <f t="shared" si="0"/>
        <v>17229500</v>
      </c>
      <c r="H6" s="138">
        <f t="shared" si="1"/>
        <v>1722950</v>
      </c>
      <c r="I6" s="138">
        <f t="shared" si="2"/>
        <v>18952450</v>
      </c>
      <c r="J6" s="147"/>
      <c r="K6" s="157"/>
    </row>
    <row r="7" spans="1:11" ht="22.5" customHeight="1">
      <c r="A7" s="144">
        <v>4</v>
      </c>
      <c r="B7" s="303">
        <v>42744</v>
      </c>
      <c r="C7" s="156" t="s">
        <v>469</v>
      </c>
      <c r="D7" s="145" t="s">
        <v>218</v>
      </c>
      <c r="E7" s="326">
        <v>2027</v>
      </c>
      <c r="F7" s="138">
        <v>8500</v>
      </c>
      <c r="G7" s="138">
        <f t="shared" si="0"/>
        <v>17229500</v>
      </c>
      <c r="H7" s="138">
        <f t="shared" si="1"/>
        <v>1722950</v>
      </c>
      <c r="I7" s="138">
        <f t="shared" si="2"/>
        <v>18952450</v>
      </c>
      <c r="J7" s="147"/>
      <c r="K7" s="157"/>
    </row>
    <row r="8" spans="1:11" ht="22.5" customHeight="1">
      <c r="A8" s="144">
        <v>5</v>
      </c>
      <c r="B8" s="303">
        <v>42749</v>
      </c>
      <c r="C8" s="156" t="s">
        <v>470</v>
      </c>
      <c r="D8" s="145" t="s">
        <v>218</v>
      </c>
      <c r="E8" s="326">
        <v>2027</v>
      </c>
      <c r="F8" s="138">
        <v>8500</v>
      </c>
      <c r="G8" s="138">
        <f t="shared" si="0"/>
        <v>17229500</v>
      </c>
      <c r="H8" s="138">
        <f t="shared" si="1"/>
        <v>1722950</v>
      </c>
      <c r="I8" s="138">
        <f t="shared" si="2"/>
        <v>18952450</v>
      </c>
      <c r="J8" s="147"/>
      <c r="K8" s="157"/>
    </row>
    <row r="9" spans="1:11" ht="22.5" customHeight="1">
      <c r="A9" s="144">
        <v>6</v>
      </c>
      <c r="B9" s="303">
        <v>42751</v>
      </c>
      <c r="C9" s="156" t="s">
        <v>471</v>
      </c>
      <c r="D9" s="145" t="s">
        <v>218</v>
      </c>
      <c r="E9" s="326">
        <v>2027</v>
      </c>
      <c r="F9" s="138">
        <v>8500</v>
      </c>
      <c r="G9" s="138">
        <f t="shared" si="0"/>
        <v>17229500</v>
      </c>
      <c r="H9" s="138">
        <f t="shared" si="1"/>
        <v>1722950</v>
      </c>
      <c r="I9" s="138">
        <f t="shared" si="2"/>
        <v>18952450</v>
      </c>
      <c r="J9" s="147"/>
      <c r="K9" s="157"/>
    </row>
    <row r="10" spans="1:11" ht="22.5" customHeight="1">
      <c r="A10" s="144">
        <v>7</v>
      </c>
      <c r="B10" s="303">
        <v>42753</v>
      </c>
      <c r="C10" s="156" t="s">
        <v>472</v>
      </c>
      <c r="D10" s="145" t="s">
        <v>218</v>
      </c>
      <c r="E10" s="326">
        <v>2022</v>
      </c>
      <c r="F10" s="138">
        <v>8500</v>
      </c>
      <c r="G10" s="138">
        <f t="shared" si="0"/>
        <v>17187000</v>
      </c>
      <c r="H10" s="138">
        <f t="shared" si="1"/>
        <v>1718700</v>
      </c>
      <c r="I10" s="138">
        <f t="shared" si="2"/>
        <v>18905700</v>
      </c>
      <c r="J10" s="147"/>
      <c r="K10" s="157"/>
    </row>
    <row r="11" spans="1:11" ht="22.5" customHeight="1">
      <c r="A11" s="144">
        <v>8</v>
      </c>
      <c r="B11" s="303">
        <v>42767</v>
      </c>
      <c r="C11" s="156" t="s">
        <v>473</v>
      </c>
      <c r="D11" s="145" t="s">
        <v>218</v>
      </c>
      <c r="E11" s="326">
        <v>2022</v>
      </c>
      <c r="F11" s="138">
        <v>8500</v>
      </c>
      <c r="G11" s="138">
        <f t="shared" si="0"/>
        <v>17187000</v>
      </c>
      <c r="H11" s="138">
        <f t="shared" si="1"/>
        <v>1718700</v>
      </c>
      <c r="I11" s="138">
        <f t="shared" si="2"/>
        <v>18905700</v>
      </c>
      <c r="J11" s="147"/>
      <c r="K11" s="157"/>
    </row>
    <row r="12" spans="1:11" ht="22.5" customHeight="1">
      <c r="A12" s="144">
        <v>9</v>
      </c>
      <c r="B12" s="303">
        <v>42784</v>
      </c>
      <c r="C12" s="156" t="s">
        <v>474</v>
      </c>
      <c r="D12" s="145" t="s">
        <v>218</v>
      </c>
      <c r="E12" s="326">
        <v>2022</v>
      </c>
      <c r="F12" s="138">
        <v>8500</v>
      </c>
      <c r="G12" s="138">
        <f t="shared" si="0"/>
        <v>17187000</v>
      </c>
      <c r="H12" s="138">
        <f t="shared" si="1"/>
        <v>1718700</v>
      </c>
      <c r="I12" s="138">
        <f t="shared" si="2"/>
        <v>18905700</v>
      </c>
      <c r="J12" s="147"/>
      <c r="K12" s="157"/>
    </row>
    <row r="13" spans="1:11" ht="22.5" customHeight="1">
      <c r="A13" s="144">
        <v>10</v>
      </c>
      <c r="B13" s="303">
        <v>42787</v>
      </c>
      <c r="C13" s="156" t="s">
        <v>475</v>
      </c>
      <c r="D13" s="145" t="s">
        <v>218</v>
      </c>
      <c r="E13" s="326">
        <v>2022</v>
      </c>
      <c r="F13" s="138">
        <v>8500</v>
      </c>
      <c r="G13" s="138">
        <f t="shared" si="0"/>
        <v>17187000</v>
      </c>
      <c r="H13" s="138">
        <f t="shared" si="1"/>
        <v>1718700</v>
      </c>
      <c r="I13" s="138">
        <f t="shared" si="2"/>
        <v>18905700</v>
      </c>
      <c r="J13" s="147"/>
      <c r="K13" s="157"/>
    </row>
    <row r="14" spans="1:11" ht="22.5" customHeight="1">
      <c r="A14" s="144">
        <v>11</v>
      </c>
      <c r="B14" s="318">
        <v>42790</v>
      </c>
      <c r="C14" s="156" t="s">
        <v>476</v>
      </c>
      <c r="D14" s="145" t="s">
        <v>218</v>
      </c>
      <c r="E14" s="326">
        <v>2021</v>
      </c>
      <c r="F14" s="138">
        <v>8500</v>
      </c>
      <c r="G14" s="138">
        <f t="shared" ref="G14:G21" si="3">E14*F14</f>
        <v>17178500</v>
      </c>
      <c r="H14" s="138">
        <f t="shared" ref="H14:H21" si="4">G14*10%</f>
        <v>1717850</v>
      </c>
      <c r="I14" s="138">
        <f t="shared" ref="I14:I21" si="5">G14+H14</f>
        <v>18896350</v>
      </c>
      <c r="J14" s="147"/>
      <c r="K14" s="157"/>
    </row>
    <row r="15" spans="1:11" ht="22.5" customHeight="1">
      <c r="A15" s="144">
        <v>12</v>
      </c>
      <c r="B15" s="318">
        <v>42795</v>
      </c>
      <c r="C15" s="156" t="s">
        <v>477</v>
      </c>
      <c r="D15" s="145" t="s">
        <v>218</v>
      </c>
      <c r="E15" s="326">
        <v>2030</v>
      </c>
      <c r="F15" s="138">
        <v>8500</v>
      </c>
      <c r="G15" s="138">
        <f t="shared" si="3"/>
        <v>17255000</v>
      </c>
      <c r="H15" s="138">
        <f t="shared" si="4"/>
        <v>1725500</v>
      </c>
      <c r="I15" s="138">
        <f t="shared" si="5"/>
        <v>18980500</v>
      </c>
      <c r="J15" s="147"/>
      <c r="K15" s="157"/>
    </row>
    <row r="16" spans="1:11" ht="22.5" customHeight="1">
      <c r="A16" s="144">
        <v>13</v>
      </c>
      <c r="B16" s="318">
        <v>42801</v>
      </c>
      <c r="C16" s="156" t="s">
        <v>478</v>
      </c>
      <c r="D16" s="145" t="s">
        <v>218</v>
      </c>
      <c r="E16" s="326">
        <v>2030</v>
      </c>
      <c r="F16" s="138">
        <v>8500</v>
      </c>
      <c r="G16" s="138">
        <f t="shared" si="3"/>
        <v>17255000</v>
      </c>
      <c r="H16" s="138">
        <f t="shared" si="4"/>
        <v>1725500</v>
      </c>
      <c r="I16" s="138">
        <f t="shared" si="5"/>
        <v>18980500</v>
      </c>
      <c r="J16" s="147"/>
      <c r="K16" s="157"/>
    </row>
    <row r="17" spans="1:11" ht="22.5" customHeight="1">
      <c r="A17" s="144">
        <v>14</v>
      </c>
      <c r="B17" s="318">
        <v>42804</v>
      </c>
      <c r="C17" s="156" t="s">
        <v>479</v>
      </c>
      <c r="D17" s="145" t="s">
        <v>218</v>
      </c>
      <c r="E17" s="326">
        <v>2030</v>
      </c>
      <c r="F17" s="138">
        <v>8500</v>
      </c>
      <c r="G17" s="138">
        <f t="shared" si="3"/>
        <v>17255000</v>
      </c>
      <c r="H17" s="138">
        <f t="shared" si="4"/>
        <v>1725500</v>
      </c>
      <c r="I17" s="138">
        <f t="shared" si="5"/>
        <v>18980500</v>
      </c>
      <c r="J17" s="147"/>
      <c r="K17" s="157"/>
    </row>
    <row r="18" spans="1:11" ht="22.5" customHeight="1">
      <c r="A18" s="144">
        <v>15</v>
      </c>
      <c r="B18" s="318">
        <v>42807</v>
      </c>
      <c r="C18" s="156" t="s">
        <v>480</v>
      </c>
      <c r="D18" s="145" t="s">
        <v>218</v>
      </c>
      <c r="E18" s="326">
        <v>2030</v>
      </c>
      <c r="F18" s="138">
        <v>8500</v>
      </c>
      <c r="G18" s="138">
        <f t="shared" si="3"/>
        <v>17255000</v>
      </c>
      <c r="H18" s="138">
        <f t="shared" si="4"/>
        <v>1725500</v>
      </c>
      <c r="I18" s="138">
        <f t="shared" si="5"/>
        <v>18980500</v>
      </c>
      <c r="J18" s="147"/>
      <c r="K18" s="157"/>
    </row>
    <row r="19" spans="1:11" ht="22.5" customHeight="1">
      <c r="A19" s="144">
        <v>16</v>
      </c>
      <c r="B19" s="318">
        <v>42809</v>
      </c>
      <c r="C19" s="156" t="s">
        <v>481</v>
      </c>
      <c r="D19" s="145" t="s">
        <v>218</v>
      </c>
      <c r="E19" s="326">
        <v>2030</v>
      </c>
      <c r="F19" s="138">
        <v>8500</v>
      </c>
      <c r="G19" s="138">
        <f t="shared" si="3"/>
        <v>17255000</v>
      </c>
      <c r="H19" s="138">
        <f t="shared" si="4"/>
        <v>1725500</v>
      </c>
      <c r="I19" s="138">
        <f t="shared" si="5"/>
        <v>18980500</v>
      </c>
      <c r="J19" s="147"/>
      <c r="K19" s="157"/>
    </row>
    <row r="20" spans="1:11" ht="22.5" customHeight="1">
      <c r="A20" s="144">
        <v>17</v>
      </c>
      <c r="B20" s="318">
        <v>42810</v>
      </c>
      <c r="C20" s="156" t="s">
        <v>482</v>
      </c>
      <c r="D20" s="145" t="s">
        <v>218</v>
      </c>
      <c r="E20" s="326">
        <v>2030</v>
      </c>
      <c r="F20" s="138">
        <v>8500</v>
      </c>
      <c r="G20" s="138">
        <f t="shared" si="3"/>
        <v>17255000</v>
      </c>
      <c r="H20" s="138">
        <f t="shared" si="4"/>
        <v>1725500</v>
      </c>
      <c r="I20" s="138">
        <f t="shared" si="5"/>
        <v>18980500</v>
      </c>
      <c r="J20" s="147"/>
      <c r="K20" s="157"/>
    </row>
    <row r="21" spans="1:11" ht="22.5" customHeight="1">
      <c r="A21" s="144">
        <v>18</v>
      </c>
      <c r="B21" s="318">
        <v>42812</v>
      </c>
      <c r="C21" s="156" t="s">
        <v>512</v>
      </c>
      <c r="D21" s="145" t="s">
        <v>218</v>
      </c>
      <c r="E21" s="326">
        <v>2030</v>
      </c>
      <c r="F21" s="138">
        <v>8500</v>
      </c>
      <c r="G21" s="138">
        <f t="shared" si="3"/>
        <v>17255000</v>
      </c>
      <c r="H21" s="138">
        <f t="shared" si="4"/>
        <v>1725500</v>
      </c>
      <c r="I21" s="138">
        <f t="shared" si="5"/>
        <v>18980500</v>
      </c>
      <c r="J21" s="147"/>
      <c r="K21" s="157"/>
    </row>
    <row r="22" spans="1:11" ht="22.5" customHeight="1">
      <c r="A22" s="144">
        <v>19</v>
      </c>
      <c r="B22" s="318">
        <v>42816</v>
      </c>
      <c r="C22" s="156" t="s">
        <v>513</v>
      </c>
      <c r="D22" s="145" t="s">
        <v>218</v>
      </c>
      <c r="E22" s="326">
        <v>2030</v>
      </c>
      <c r="F22" s="138">
        <v>8500</v>
      </c>
      <c r="G22" s="138">
        <f t="shared" ref="G22:G26" si="6">E22*F22</f>
        <v>17255000</v>
      </c>
      <c r="H22" s="138">
        <f t="shared" ref="H22:H26" si="7">G22*10%</f>
        <v>1725500</v>
      </c>
      <c r="I22" s="138">
        <f t="shared" ref="I22:I26" si="8">G22+H22</f>
        <v>18980500</v>
      </c>
      <c r="J22" s="147"/>
      <c r="K22" s="157"/>
    </row>
    <row r="23" spans="1:11" ht="22.5" customHeight="1">
      <c r="A23" s="144">
        <v>20</v>
      </c>
      <c r="B23" s="318">
        <v>42818</v>
      </c>
      <c r="C23" s="156" t="s">
        <v>514</v>
      </c>
      <c r="D23" s="145" t="s">
        <v>218</v>
      </c>
      <c r="E23" s="326">
        <v>2030</v>
      </c>
      <c r="F23" s="138">
        <v>8500</v>
      </c>
      <c r="G23" s="138">
        <f t="shared" si="6"/>
        <v>17255000</v>
      </c>
      <c r="H23" s="138">
        <f t="shared" si="7"/>
        <v>1725500</v>
      </c>
      <c r="I23" s="138">
        <f t="shared" si="8"/>
        <v>18980500</v>
      </c>
      <c r="J23" s="147"/>
      <c r="K23" s="157"/>
    </row>
    <row r="24" spans="1:11" ht="22.5" customHeight="1">
      <c r="A24" s="144">
        <v>21</v>
      </c>
      <c r="B24" s="318">
        <v>42822</v>
      </c>
      <c r="C24" s="156" t="s">
        <v>515</v>
      </c>
      <c r="D24" s="145" t="s">
        <v>218</v>
      </c>
      <c r="E24" s="326">
        <v>2030</v>
      </c>
      <c r="F24" s="138">
        <v>8500</v>
      </c>
      <c r="G24" s="138">
        <f t="shared" si="6"/>
        <v>17255000</v>
      </c>
      <c r="H24" s="138">
        <f t="shared" si="7"/>
        <v>1725500</v>
      </c>
      <c r="I24" s="138">
        <f t="shared" si="8"/>
        <v>18980500</v>
      </c>
      <c r="J24" s="147"/>
      <c r="K24" s="157"/>
    </row>
    <row r="25" spans="1:11" ht="22.5" customHeight="1">
      <c r="A25" s="144">
        <v>22</v>
      </c>
      <c r="B25" s="318">
        <v>42825</v>
      </c>
      <c r="C25" s="156" t="s">
        <v>516</v>
      </c>
      <c r="D25" s="145" t="s">
        <v>218</v>
      </c>
      <c r="E25" s="326">
        <v>2030</v>
      </c>
      <c r="F25" s="138">
        <v>8500</v>
      </c>
      <c r="G25" s="138">
        <f t="shared" si="6"/>
        <v>17255000</v>
      </c>
      <c r="H25" s="138">
        <f t="shared" si="7"/>
        <v>1725500</v>
      </c>
      <c r="I25" s="138">
        <f t="shared" si="8"/>
        <v>18980500</v>
      </c>
      <c r="J25" s="147"/>
      <c r="K25" s="157"/>
    </row>
    <row r="26" spans="1:11" ht="22.5" customHeight="1">
      <c r="A26" s="144">
        <v>23</v>
      </c>
      <c r="B26" s="318">
        <v>42826</v>
      </c>
      <c r="C26" s="156" t="s">
        <v>517</v>
      </c>
      <c r="D26" s="145" t="s">
        <v>218</v>
      </c>
      <c r="E26" s="326">
        <v>2030</v>
      </c>
      <c r="F26" s="138">
        <v>8500</v>
      </c>
      <c r="G26" s="138">
        <f t="shared" si="6"/>
        <v>17255000</v>
      </c>
      <c r="H26" s="138">
        <f t="shared" si="7"/>
        <v>1725500</v>
      </c>
      <c r="I26" s="138">
        <f t="shared" si="8"/>
        <v>18980500</v>
      </c>
      <c r="J26" s="147"/>
      <c r="K26" s="157"/>
    </row>
    <row r="27" spans="1:11" ht="22.5" customHeight="1">
      <c r="A27" s="148"/>
      <c r="B27" s="149"/>
      <c r="C27" s="149"/>
      <c r="D27" s="149"/>
      <c r="E27" s="140"/>
      <c r="F27" s="140"/>
      <c r="G27" s="140"/>
      <c r="H27" s="140"/>
      <c r="I27" s="140"/>
      <c r="J27" s="149"/>
    </row>
    <row r="28" spans="1:11" s="155" customFormat="1" ht="21" customHeight="1">
      <c r="A28" s="897" t="s">
        <v>19</v>
      </c>
      <c r="B28" s="897"/>
      <c r="C28" s="897"/>
      <c r="D28" s="897"/>
      <c r="E28" s="153"/>
      <c r="F28" s="153"/>
      <c r="G28" s="153">
        <f>SUM(G4:G27)</f>
        <v>396355000</v>
      </c>
      <c r="H28" s="153">
        <f>SUM(H4:H27)</f>
        <v>39635500</v>
      </c>
      <c r="I28" s="153"/>
      <c r="J28" s="154"/>
    </row>
    <row r="30" spans="1:11" s="141" customFormat="1" ht="14.25">
      <c r="A30" s="141" t="s">
        <v>221</v>
      </c>
    </row>
    <row r="31" spans="1:11" s="141" customFormat="1" ht="14.25">
      <c r="A31" s="141" t="s">
        <v>222</v>
      </c>
    </row>
    <row r="32" spans="1:11" s="141" customFormat="1" ht="14.25">
      <c r="A32" s="141" t="s">
        <v>223</v>
      </c>
    </row>
    <row r="35" spans="1:11" s="141" customFormat="1" ht="28.5" customHeight="1">
      <c r="A35" s="896" t="s">
        <v>574</v>
      </c>
      <c r="B35" s="896"/>
      <c r="C35" s="896"/>
      <c r="D35" s="896"/>
      <c r="E35" s="896"/>
      <c r="F35" s="896"/>
      <c r="G35" s="896"/>
      <c r="H35" s="896"/>
      <c r="I35" s="896"/>
      <c r="J35" s="896"/>
    </row>
    <row r="36" spans="1:11" s="143" customFormat="1" ht="33.75" customHeight="1">
      <c r="A36" s="366" t="s">
        <v>0</v>
      </c>
      <c r="B36" s="366" t="s">
        <v>205</v>
      </c>
      <c r="C36" s="366" t="s">
        <v>206</v>
      </c>
      <c r="D36" s="366" t="s">
        <v>207</v>
      </c>
      <c r="E36" s="366" t="s">
        <v>7</v>
      </c>
      <c r="F36" s="366" t="s">
        <v>8</v>
      </c>
      <c r="G36" s="366" t="s">
        <v>9</v>
      </c>
      <c r="H36" s="366" t="s">
        <v>208</v>
      </c>
      <c r="I36" s="366" t="s">
        <v>465</v>
      </c>
      <c r="J36" s="366" t="s">
        <v>82</v>
      </c>
    </row>
    <row r="37" spans="1:11" ht="22.5" customHeight="1">
      <c r="A37" s="144">
        <v>1</v>
      </c>
      <c r="B37" s="390">
        <v>42840</v>
      </c>
      <c r="C37" s="156" t="s">
        <v>575</v>
      </c>
      <c r="D37" s="145" t="s">
        <v>218</v>
      </c>
      <c r="E37" s="389">
        <v>2030</v>
      </c>
      <c r="F37" s="138">
        <v>8500</v>
      </c>
      <c r="G37" s="138">
        <f t="shared" ref="G37:G46" si="9">E37*F37</f>
        <v>17255000</v>
      </c>
      <c r="H37" s="138">
        <f t="shared" ref="H37:H46" si="10">G37*10%</f>
        <v>1725500</v>
      </c>
      <c r="I37" s="138">
        <f t="shared" ref="I37:I46" si="11">G37+H37</f>
        <v>18980500</v>
      </c>
      <c r="J37" s="147"/>
      <c r="K37" s="157"/>
    </row>
    <row r="38" spans="1:11" ht="22.5" customHeight="1">
      <c r="A38" s="144">
        <v>2</v>
      </c>
      <c r="B38" s="390">
        <v>42841</v>
      </c>
      <c r="C38" s="156" t="s">
        <v>576</v>
      </c>
      <c r="D38" s="145" t="s">
        <v>218</v>
      </c>
      <c r="E38" s="389">
        <v>2030</v>
      </c>
      <c r="F38" s="138">
        <v>8500</v>
      </c>
      <c r="G38" s="138">
        <f t="shared" si="9"/>
        <v>17255000</v>
      </c>
      <c r="H38" s="138">
        <f t="shared" si="10"/>
        <v>1725500</v>
      </c>
      <c r="I38" s="138">
        <f t="shared" si="11"/>
        <v>18980500</v>
      </c>
      <c r="J38" s="147"/>
      <c r="K38" s="157"/>
    </row>
    <row r="39" spans="1:11" ht="22.5" customHeight="1">
      <c r="A39" s="144">
        <v>3</v>
      </c>
      <c r="B39" s="390">
        <v>42853</v>
      </c>
      <c r="C39" s="156" t="s">
        <v>577</v>
      </c>
      <c r="D39" s="145" t="s">
        <v>218</v>
      </c>
      <c r="E39" s="389">
        <v>2030</v>
      </c>
      <c r="F39" s="138">
        <v>8500</v>
      </c>
      <c r="G39" s="138">
        <f t="shared" si="9"/>
        <v>17255000</v>
      </c>
      <c r="H39" s="138">
        <f t="shared" si="10"/>
        <v>1725500</v>
      </c>
      <c r="I39" s="138">
        <f t="shared" si="11"/>
        <v>18980500</v>
      </c>
      <c r="J39" s="147"/>
      <c r="K39" s="157"/>
    </row>
    <row r="40" spans="1:11" ht="22.5" customHeight="1">
      <c r="A40" s="144">
        <v>4</v>
      </c>
      <c r="B40" s="390">
        <v>42859</v>
      </c>
      <c r="C40" s="152" t="s">
        <v>578</v>
      </c>
      <c r="D40" s="145" t="s">
        <v>218</v>
      </c>
      <c r="E40" s="389">
        <v>2030</v>
      </c>
      <c r="F40" s="138">
        <v>8500</v>
      </c>
      <c r="G40" s="138">
        <f t="shared" si="9"/>
        <v>17255000</v>
      </c>
      <c r="H40" s="138">
        <f t="shared" si="10"/>
        <v>1725500</v>
      </c>
      <c r="I40" s="138">
        <f t="shared" si="11"/>
        <v>18980500</v>
      </c>
      <c r="J40" s="147"/>
      <c r="K40" s="157"/>
    </row>
    <row r="41" spans="1:11" ht="22.5" customHeight="1">
      <c r="A41" s="144">
        <v>5</v>
      </c>
      <c r="B41" s="390">
        <v>42860</v>
      </c>
      <c r="C41" s="156" t="s">
        <v>579</v>
      </c>
      <c r="D41" s="145" t="s">
        <v>218</v>
      </c>
      <c r="E41" s="389">
        <v>2030</v>
      </c>
      <c r="F41" s="138">
        <v>8500</v>
      </c>
      <c r="G41" s="138">
        <f t="shared" si="9"/>
        <v>17255000</v>
      </c>
      <c r="H41" s="138">
        <f t="shared" si="10"/>
        <v>1725500</v>
      </c>
      <c r="I41" s="138">
        <f t="shared" si="11"/>
        <v>18980500</v>
      </c>
      <c r="J41" s="147"/>
      <c r="K41" s="157"/>
    </row>
    <row r="42" spans="1:11" ht="22.5" customHeight="1">
      <c r="A42" s="144">
        <v>6</v>
      </c>
      <c r="B42" s="390">
        <v>42863</v>
      </c>
      <c r="C42" s="156" t="s">
        <v>632</v>
      </c>
      <c r="D42" s="145" t="s">
        <v>218</v>
      </c>
      <c r="E42" s="389">
        <v>2030</v>
      </c>
      <c r="F42" s="138">
        <v>8500</v>
      </c>
      <c r="G42" s="138">
        <f t="shared" si="9"/>
        <v>17255000</v>
      </c>
      <c r="H42" s="138">
        <f t="shared" si="10"/>
        <v>1725500</v>
      </c>
      <c r="I42" s="138">
        <f t="shared" si="11"/>
        <v>18980500</v>
      </c>
      <c r="J42" s="147"/>
      <c r="K42" s="157"/>
    </row>
    <row r="43" spans="1:11" ht="22.5" customHeight="1">
      <c r="A43" s="144">
        <v>7</v>
      </c>
      <c r="B43" s="390">
        <v>42864</v>
      </c>
      <c r="C43" s="156" t="s">
        <v>633</v>
      </c>
      <c r="D43" s="145" t="s">
        <v>218</v>
      </c>
      <c r="E43" s="389">
        <v>2030</v>
      </c>
      <c r="F43" s="138">
        <v>8500</v>
      </c>
      <c r="G43" s="138">
        <f t="shared" si="9"/>
        <v>17255000</v>
      </c>
      <c r="H43" s="138">
        <f t="shared" si="10"/>
        <v>1725500</v>
      </c>
      <c r="I43" s="138">
        <f t="shared" si="11"/>
        <v>18980500</v>
      </c>
      <c r="J43" s="147"/>
      <c r="K43" s="157"/>
    </row>
    <row r="44" spans="1:11" ht="22.5" customHeight="1">
      <c r="A44" s="144">
        <v>8</v>
      </c>
      <c r="B44" s="390">
        <v>42866</v>
      </c>
      <c r="C44" s="156" t="s">
        <v>634</v>
      </c>
      <c r="D44" s="145" t="s">
        <v>218</v>
      </c>
      <c r="E44" s="389">
        <v>2030</v>
      </c>
      <c r="F44" s="138">
        <v>8500</v>
      </c>
      <c r="G44" s="138">
        <f t="shared" si="9"/>
        <v>17255000</v>
      </c>
      <c r="H44" s="138">
        <f t="shared" si="10"/>
        <v>1725500</v>
      </c>
      <c r="I44" s="138">
        <f t="shared" si="11"/>
        <v>18980500</v>
      </c>
      <c r="J44" s="147"/>
      <c r="K44" s="157"/>
    </row>
    <row r="45" spans="1:11" ht="22.5" customHeight="1">
      <c r="A45" s="144">
        <v>9</v>
      </c>
      <c r="B45" s="390">
        <v>42870</v>
      </c>
      <c r="C45" s="156" t="s">
        <v>635</v>
      </c>
      <c r="D45" s="145" t="s">
        <v>218</v>
      </c>
      <c r="E45" s="389">
        <v>2030</v>
      </c>
      <c r="F45" s="138">
        <v>8500</v>
      </c>
      <c r="G45" s="138">
        <f t="shared" si="9"/>
        <v>17255000</v>
      </c>
      <c r="H45" s="138">
        <f t="shared" si="10"/>
        <v>1725500</v>
      </c>
      <c r="I45" s="138">
        <f t="shared" si="11"/>
        <v>18980500</v>
      </c>
      <c r="J45" s="147"/>
      <c r="K45" s="157"/>
    </row>
    <row r="46" spans="1:11" ht="22.5" customHeight="1">
      <c r="A46" s="144">
        <v>10</v>
      </c>
      <c r="B46" s="390">
        <v>42871</v>
      </c>
      <c r="C46" s="156" t="s">
        <v>642</v>
      </c>
      <c r="D46" s="145" t="s">
        <v>218</v>
      </c>
      <c r="E46" s="386">
        <v>2030</v>
      </c>
      <c r="F46" s="138">
        <v>8500</v>
      </c>
      <c r="G46" s="138">
        <f t="shared" si="9"/>
        <v>17255000</v>
      </c>
      <c r="H46" s="138">
        <f t="shared" si="10"/>
        <v>1725500</v>
      </c>
      <c r="I46" s="138">
        <f t="shared" si="11"/>
        <v>18980500</v>
      </c>
      <c r="J46" s="147"/>
      <c r="K46" s="157"/>
    </row>
    <row r="47" spans="1:11" ht="22.5" customHeight="1">
      <c r="A47" s="144">
        <v>11</v>
      </c>
      <c r="B47" s="387">
        <v>42810</v>
      </c>
      <c r="C47" s="156" t="s">
        <v>638</v>
      </c>
      <c r="D47" s="147" t="s">
        <v>218</v>
      </c>
      <c r="E47" s="386">
        <v>2030</v>
      </c>
      <c r="F47" s="138">
        <v>8500</v>
      </c>
      <c r="G47" s="139">
        <f t="shared" ref="G47:G55" si="12">E47*F47</f>
        <v>17255000</v>
      </c>
      <c r="H47" s="139">
        <f t="shared" ref="H47:H55" si="13">G47*10%</f>
        <v>1725500</v>
      </c>
      <c r="I47" s="139">
        <f t="shared" ref="I47:I55" si="14">G47+H47</f>
        <v>18980500</v>
      </c>
      <c r="J47" s="147"/>
      <c r="K47" s="157"/>
    </row>
    <row r="48" spans="1:11" ht="22.5" customHeight="1">
      <c r="A48" s="144">
        <v>12</v>
      </c>
      <c r="B48" s="387">
        <v>42811</v>
      </c>
      <c r="C48" s="156" t="s">
        <v>639</v>
      </c>
      <c r="D48" s="147" t="s">
        <v>218</v>
      </c>
      <c r="E48" s="386">
        <v>2030</v>
      </c>
      <c r="F48" s="138">
        <v>8500</v>
      </c>
      <c r="G48" s="139">
        <f t="shared" si="12"/>
        <v>17255000</v>
      </c>
      <c r="H48" s="139">
        <f t="shared" si="13"/>
        <v>1725500</v>
      </c>
      <c r="I48" s="139">
        <f t="shared" si="14"/>
        <v>18980500</v>
      </c>
      <c r="J48" s="147"/>
      <c r="K48" s="157"/>
    </row>
    <row r="49" spans="1:11" ht="22.5" customHeight="1">
      <c r="A49" s="144">
        <v>13</v>
      </c>
      <c r="B49" s="387">
        <v>42821</v>
      </c>
      <c r="C49" s="156" t="s">
        <v>640</v>
      </c>
      <c r="D49" s="147" t="s">
        <v>218</v>
      </c>
      <c r="E49" s="386">
        <v>2030</v>
      </c>
      <c r="F49" s="138">
        <v>8500</v>
      </c>
      <c r="G49" s="139">
        <f t="shared" si="12"/>
        <v>17255000</v>
      </c>
      <c r="H49" s="139">
        <f t="shared" si="13"/>
        <v>1725500</v>
      </c>
      <c r="I49" s="139">
        <f t="shared" si="14"/>
        <v>18980500</v>
      </c>
      <c r="J49" s="147"/>
      <c r="K49" s="157"/>
    </row>
    <row r="50" spans="1:11" ht="22.5" customHeight="1">
      <c r="A50" s="144">
        <v>14</v>
      </c>
      <c r="B50" s="388">
        <v>42822</v>
      </c>
      <c r="C50" s="373" t="s">
        <v>641</v>
      </c>
      <c r="D50" s="147" t="s">
        <v>218</v>
      </c>
      <c r="E50" s="386">
        <v>2030</v>
      </c>
      <c r="F50" s="138">
        <v>8500</v>
      </c>
      <c r="G50" s="139">
        <f t="shared" ref="G50:G54" si="15">E50*F50</f>
        <v>17255000</v>
      </c>
      <c r="H50" s="139">
        <f t="shared" ref="H50:H54" si="16">G50*10%</f>
        <v>1725500</v>
      </c>
      <c r="I50" s="139">
        <f t="shared" ref="I50:I54" si="17">G50+H50</f>
        <v>18980500</v>
      </c>
      <c r="J50" s="147"/>
      <c r="K50" s="157"/>
    </row>
    <row r="51" spans="1:11" ht="22.5" customHeight="1">
      <c r="A51" s="144">
        <v>15</v>
      </c>
      <c r="B51" s="388">
        <v>42825</v>
      </c>
      <c r="C51" s="373" t="s">
        <v>583</v>
      </c>
      <c r="D51" s="147" t="s">
        <v>218</v>
      </c>
      <c r="E51" s="386">
        <v>1907</v>
      </c>
      <c r="F51" s="138">
        <v>8500</v>
      </c>
      <c r="G51" s="139">
        <f t="shared" si="15"/>
        <v>16209500</v>
      </c>
      <c r="H51" s="139">
        <f t="shared" si="16"/>
        <v>1620950</v>
      </c>
      <c r="I51" s="139">
        <f t="shared" si="17"/>
        <v>17830450</v>
      </c>
      <c r="J51" s="147"/>
      <c r="K51" s="157"/>
    </row>
    <row r="52" spans="1:11" ht="22.5" customHeight="1">
      <c r="A52" s="144">
        <v>16</v>
      </c>
      <c r="B52" s="388">
        <v>42826</v>
      </c>
      <c r="C52" s="373" t="s">
        <v>580</v>
      </c>
      <c r="D52" s="147" t="s">
        <v>218</v>
      </c>
      <c r="E52" s="386">
        <v>2030</v>
      </c>
      <c r="F52" s="138">
        <v>8500</v>
      </c>
      <c r="G52" s="139">
        <f t="shared" si="15"/>
        <v>17255000</v>
      </c>
      <c r="H52" s="139">
        <f t="shared" si="16"/>
        <v>1725500</v>
      </c>
      <c r="I52" s="139">
        <f t="shared" si="17"/>
        <v>18980500</v>
      </c>
      <c r="J52" s="147"/>
      <c r="K52" s="157"/>
    </row>
    <row r="53" spans="1:11" ht="22.5" customHeight="1">
      <c r="A53" s="144">
        <v>17</v>
      </c>
      <c r="B53" s="388">
        <v>42828</v>
      </c>
      <c r="C53" s="373" t="s">
        <v>581</v>
      </c>
      <c r="D53" s="147" t="s">
        <v>218</v>
      </c>
      <c r="E53" s="386">
        <v>2030</v>
      </c>
      <c r="F53" s="138">
        <v>8500</v>
      </c>
      <c r="G53" s="139">
        <f t="shared" si="15"/>
        <v>17255000</v>
      </c>
      <c r="H53" s="139">
        <f t="shared" si="16"/>
        <v>1725500</v>
      </c>
      <c r="I53" s="139">
        <f t="shared" si="17"/>
        <v>18980500</v>
      </c>
      <c r="J53" s="147"/>
      <c r="K53" s="157"/>
    </row>
    <row r="54" spans="1:11" ht="22.5" customHeight="1">
      <c r="A54" s="144">
        <v>18</v>
      </c>
      <c r="B54" s="388">
        <v>42852</v>
      </c>
      <c r="C54" s="373" t="s">
        <v>582</v>
      </c>
      <c r="D54" s="147" t="s">
        <v>218</v>
      </c>
      <c r="E54" s="386">
        <v>2030</v>
      </c>
      <c r="F54" s="138">
        <v>8500</v>
      </c>
      <c r="G54" s="139">
        <f t="shared" si="15"/>
        <v>17255000</v>
      </c>
      <c r="H54" s="139">
        <f t="shared" si="16"/>
        <v>1725500</v>
      </c>
      <c r="I54" s="139">
        <f t="shared" si="17"/>
        <v>18980500</v>
      </c>
      <c r="J54" s="147"/>
      <c r="K54" s="157"/>
    </row>
    <row r="55" spans="1:11" ht="22.5" customHeight="1">
      <c r="A55" s="144">
        <v>19</v>
      </c>
      <c r="B55" s="388">
        <v>42869</v>
      </c>
      <c r="C55" s="373" t="s">
        <v>636</v>
      </c>
      <c r="D55" s="147" t="s">
        <v>218</v>
      </c>
      <c r="E55" s="361">
        <v>2030</v>
      </c>
      <c r="F55" s="138">
        <v>8500</v>
      </c>
      <c r="G55" s="139">
        <f t="shared" si="12"/>
        <v>17255000</v>
      </c>
      <c r="H55" s="139">
        <f t="shared" si="13"/>
        <v>1725500</v>
      </c>
      <c r="I55" s="139">
        <f t="shared" si="14"/>
        <v>18980500</v>
      </c>
      <c r="J55" s="147"/>
      <c r="K55" s="157"/>
    </row>
    <row r="56" spans="1:11" ht="22.5" customHeight="1">
      <c r="A56" s="144">
        <v>20</v>
      </c>
      <c r="B56" s="367">
        <v>42870</v>
      </c>
      <c r="C56" s="152" t="s">
        <v>637</v>
      </c>
      <c r="D56" s="145" t="s">
        <v>218</v>
      </c>
      <c r="E56" s="365">
        <v>2030</v>
      </c>
      <c r="F56" s="138">
        <v>8500</v>
      </c>
      <c r="G56" s="138">
        <f t="shared" ref="G56" si="18">E56*F56</f>
        <v>17255000</v>
      </c>
      <c r="H56" s="138">
        <f t="shared" ref="H56" si="19">G56*10%</f>
        <v>1725500</v>
      </c>
      <c r="I56" s="138">
        <f t="shared" ref="I56" si="20">G56+H56</f>
        <v>18980500</v>
      </c>
      <c r="J56" s="147"/>
      <c r="K56" s="157"/>
    </row>
    <row r="57" spans="1:11" ht="22.5" customHeight="1">
      <c r="A57" s="368"/>
      <c r="B57" s="369"/>
      <c r="C57" s="369"/>
      <c r="D57" s="369"/>
      <c r="E57" s="370"/>
      <c r="F57" s="370"/>
      <c r="G57" s="370"/>
      <c r="H57" s="370"/>
      <c r="I57" s="370"/>
      <c r="J57" s="369"/>
    </row>
    <row r="58" spans="1:11" s="155" customFormat="1" ht="21" customHeight="1">
      <c r="A58" s="897" t="s">
        <v>19</v>
      </c>
      <c r="B58" s="897"/>
      <c r="C58" s="897"/>
      <c r="D58" s="897"/>
      <c r="E58" s="153">
        <f>SUM(E37:E57)</f>
        <v>40477</v>
      </c>
      <c r="F58" s="153"/>
      <c r="G58" s="153">
        <f>SUM(G37:G57)</f>
        <v>344054500</v>
      </c>
      <c r="H58" s="153">
        <f>SUM(H37:H57)</f>
        <v>34405450</v>
      </c>
      <c r="I58" s="153"/>
      <c r="J58" s="154"/>
    </row>
    <row r="60" spans="1:11" s="141" customFormat="1" ht="14.25">
      <c r="A60" s="141" t="s">
        <v>221</v>
      </c>
    </row>
    <row r="61" spans="1:11" s="141" customFormat="1" ht="14.25">
      <c r="A61" s="141" t="s">
        <v>222</v>
      </c>
    </row>
    <row r="62" spans="1:11" s="141" customFormat="1" ht="14.25">
      <c r="A62" s="141" t="s">
        <v>223</v>
      </c>
    </row>
    <row r="67" spans="1:11" s="141" customFormat="1" ht="28.5" customHeight="1">
      <c r="A67" s="896" t="s">
        <v>707</v>
      </c>
      <c r="B67" s="896"/>
      <c r="C67" s="896"/>
      <c r="D67" s="896"/>
      <c r="E67" s="896"/>
      <c r="F67" s="896"/>
      <c r="G67" s="896"/>
      <c r="H67" s="896"/>
      <c r="I67" s="896"/>
      <c r="J67" s="896"/>
    </row>
    <row r="68" spans="1:11" s="143" customFormat="1" ht="33.75" customHeight="1">
      <c r="A68" s="405" t="s">
        <v>0</v>
      </c>
      <c r="B68" s="405" t="s">
        <v>205</v>
      </c>
      <c r="C68" s="405" t="s">
        <v>206</v>
      </c>
      <c r="D68" s="405" t="s">
        <v>207</v>
      </c>
      <c r="E68" s="405" t="s">
        <v>7</v>
      </c>
      <c r="F68" s="405" t="s">
        <v>8</v>
      </c>
      <c r="G68" s="405" t="s">
        <v>9</v>
      </c>
      <c r="H68" s="405" t="s">
        <v>208</v>
      </c>
      <c r="I68" s="405" t="s">
        <v>465</v>
      </c>
      <c r="J68" s="405" t="s">
        <v>82</v>
      </c>
    </row>
    <row r="69" spans="1:11" ht="22.5" customHeight="1">
      <c r="A69" s="144">
        <v>1</v>
      </c>
      <c r="B69" s="406">
        <v>42873</v>
      </c>
      <c r="C69" s="156" t="s">
        <v>708</v>
      </c>
      <c r="D69" s="145" t="s">
        <v>218</v>
      </c>
      <c r="E69" s="404">
        <v>2030</v>
      </c>
      <c r="F69" s="138">
        <v>8800</v>
      </c>
      <c r="G69" s="138">
        <f t="shared" ref="G69:G85" si="21">E69*F69</f>
        <v>17864000</v>
      </c>
      <c r="H69" s="138">
        <f t="shared" ref="H69:H85" si="22">G69*10%</f>
        <v>1786400</v>
      </c>
      <c r="I69" s="138">
        <f t="shared" ref="I69:I85" si="23">G69+H69</f>
        <v>19650400</v>
      </c>
      <c r="J69" s="147"/>
      <c r="K69" s="157"/>
    </row>
    <row r="70" spans="1:11" ht="22.5" customHeight="1">
      <c r="A70" s="144">
        <v>2</v>
      </c>
      <c r="B70" s="406">
        <v>42875</v>
      </c>
      <c r="C70" s="156" t="s">
        <v>709</v>
      </c>
      <c r="D70" s="145" t="s">
        <v>218</v>
      </c>
      <c r="E70" s="404">
        <v>2030</v>
      </c>
      <c r="F70" s="138">
        <v>8800</v>
      </c>
      <c r="G70" s="138">
        <f t="shared" si="21"/>
        <v>17864000</v>
      </c>
      <c r="H70" s="138">
        <f t="shared" si="22"/>
        <v>1786400</v>
      </c>
      <c r="I70" s="138">
        <f t="shared" si="23"/>
        <v>19650400</v>
      </c>
      <c r="J70" s="147"/>
      <c r="K70" s="157"/>
    </row>
    <row r="71" spans="1:11" ht="22.5" customHeight="1">
      <c r="A71" s="144">
        <v>3</v>
      </c>
      <c r="B71" s="406">
        <v>42876</v>
      </c>
      <c r="C71" s="156" t="s">
        <v>710</v>
      </c>
      <c r="D71" s="145" t="s">
        <v>218</v>
      </c>
      <c r="E71" s="404">
        <v>2030</v>
      </c>
      <c r="F71" s="138">
        <v>8800</v>
      </c>
      <c r="G71" s="138">
        <f t="shared" si="21"/>
        <v>17864000</v>
      </c>
      <c r="H71" s="138">
        <f t="shared" si="22"/>
        <v>1786400</v>
      </c>
      <c r="I71" s="138">
        <f t="shared" si="23"/>
        <v>19650400</v>
      </c>
      <c r="J71" s="147"/>
      <c r="K71" s="157"/>
    </row>
    <row r="72" spans="1:11" ht="22.5" customHeight="1">
      <c r="A72" s="144">
        <v>4</v>
      </c>
      <c r="B72" s="406">
        <v>42877</v>
      </c>
      <c r="C72" s="152" t="s">
        <v>711</v>
      </c>
      <c r="D72" s="145" t="s">
        <v>218</v>
      </c>
      <c r="E72" s="404">
        <v>2030</v>
      </c>
      <c r="F72" s="138">
        <v>8800</v>
      </c>
      <c r="G72" s="138">
        <f t="shared" si="21"/>
        <v>17864000</v>
      </c>
      <c r="H72" s="138">
        <f t="shared" si="22"/>
        <v>1786400</v>
      </c>
      <c r="I72" s="138">
        <f t="shared" si="23"/>
        <v>19650400</v>
      </c>
      <c r="J72" s="147"/>
      <c r="K72" s="157"/>
    </row>
    <row r="73" spans="1:11" ht="22.5" customHeight="1">
      <c r="A73" s="144">
        <v>5</v>
      </c>
      <c r="B73" s="406">
        <v>42878</v>
      </c>
      <c r="C73" s="156" t="s">
        <v>712</v>
      </c>
      <c r="D73" s="145" t="s">
        <v>218</v>
      </c>
      <c r="E73" s="404">
        <v>2030</v>
      </c>
      <c r="F73" s="138">
        <v>8800</v>
      </c>
      <c r="G73" s="138">
        <f t="shared" si="21"/>
        <v>17864000</v>
      </c>
      <c r="H73" s="138">
        <f t="shared" si="22"/>
        <v>1786400</v>
      </c>
      <c r="I73" s="138">
        <f t="shared" si="23"/>
        <v>19650400</v>
      </c>
      <c r="J73" s="147"/>
      <c r="K73" s="157"/>
    </row>
    <row r="74" spans="1:11" ht="22.5" customHeight="1">
      <c r="A74" s="144">
        <v>6</v>
      </c>
      <c r="B74" s="406">
        <v>42879</v>
      </c>
      <c r="C74" s="156" t="s">
        <v>713</v>
      </c>
      <c r="D74" s="145" t="s">
        <v>218</v>
      </c>
      <c r="E74" s="404">
        <v>2030</v>
      </c>
      <c r="F74" s="138">
        <v>8800</v>
      </c>
      <c r="G74" s="138">
        <f t="shared" si="21"/>
        <v>17864000</v>
      </c>
      <c r="H74" s="138">
        <f t="shared" si="22"/>
        <v>1786400</v>
      </c>
      <c r="I74" s="138">
        <f t="shared" si="23"/>
        <v>19650400</v>
      </c>
      <c r="J74" s="147"/>
      <c r="K74" s="157"/>
    </row>
    <row r="75" spans="1:11" ht="22.5" customHeight="1">
      <c r="A75" s="144">
        <v>7</v>
      </c>
      <c r="B75" s="406">
        <v>42880</v>
      </c>
      <c r="C75" s="156" t="s">
        <v>714</v>
      </c>
      <c r="D75" s="145" t="s">
        <v>218</v>
      </c>
      <c r="E75" s="404">
        <v>2030</v>
      </c>
      <c r="F75" s="138">
        <v>8800</v>
      </c>
      <c r="G75" s="138">
        <f t="shared" si="21"/>
        <v>17864000</v>
      </c>
      <c r="H75" s="138">
        <f t="shared" si="22"/>
        <v>1786400</v>
      </c>
      <c r="I75" s="138">
        <f t="shared" si="23"/>
        <v>19650400</v>
      </c>
      <c r="J75" s="147"/>
      <c r="K75" s="157"/>
    </row>
    <row r="76" spans="1:11" ht="22.5" customHeight="1">
      <c r="A76" s="144">
        <v>8</v>
      </c>
      <c r="B76" s="406">
        <v>42881</v>
      </c>
      <c r="C76" s="156" t="s">
        <v>715</v>
      </c>
      <c r="D76" s="145" t="s">
        <v>218</v>
      </c>
      <c r="E76" s="404">
        <v>2030</v>
      </c>
      <c r="F76" s="138">
        <v>8800</v>
      </c>
      <c r="G76" s="138">
        <f t="shared" si="21"/>
        <v>17864000</v>
      </c>
      <c r="H76" s="138">
        <f t="shared" si="22"/>
        <v>1786400</v>
      </c>
      <c r="I76" s="138">
        <f t="shared" si="23"/>
        <v>19650400</v>
      </c>
      <c r="J76" s="147"/>
      <c r="K76" s="157"/>
    </row>
    <row r="77" spans="1:11" ht="22.5" customHeight="1">
      <c r="A77" s="144">
        <v>9</v>
      </c>
      <c r="B77" s="406">
        <v>42882</v>
      </c>
      <c r="C77" s="156" t="s">
        <v>716</v>
      </c>
      <c r="D77" s="145" t="s">
        <v>218</v>
      </c>
      <c r="E77" s="404">
        <v>2030</v>
      </c>
      <c r="F77" s="138">
        <v>8800</v>
      </c>
      <c r="G77" s="138">
        <f t="shared" si="21"/>
        <v>17864000</v>
      </c>
      <c r="H77" s="138">
        <f t="shared" si="22"/>
        <v>1786400</v>
      </c>
      <c r="I77" s="138">
        <f t="shared" si="23"/>
        <v>19650400</v>
      </c>
      <c r="J77" s="147"/>
      <c r="K77" s="157"/>
    </row>
    <row r="78" spans="1:11" ht="22.5" customHeight="1">
      <c r="A78" s="144">
        <v>10</v>
      </c>
      <c r="B78" s="406">
        <v>42883</v>
      </c>
      <c r="C78" s="156" t="s">
        <v>717</v>
      </c>
      <c r="D78" s="145" t="s">
        <v>218</v>
      </c>
      <c r="E78" s="404">
        <v>2030</v>
      </c>
      <c r="F78" s="138">
        <v>8800</v>
      </c>
      <c r="G78" s="138">
        <f t="shared" si="21"/>
        <v>17864000</v>
      </c>
      <c r="H78" s="138">
        <f t="shared" si="22"/>
        <v>1786400</v>
      </c>
      <c r="I78" s="138">
        <f t="shared" si="23"/>
        <v>19650400</v>
      </c>
      <c r="J78" s="147"/>
      <c r="K78" s="157"/>
    </row>
    <row r="79" spans="1:11" ht="22.5" customHeight="1">
      <c r="A79" s="144">
        <v>11</v>
      </c>
      <c r="B79" s="407">
        <v>42884</v>
      </c>
      <c r="C79" s="156" t="s">
        <v>718</v>
      </c>
      <c r="D79" s="147" t="s">
        <v>218</v>
      </c>
      <c r="E79" s="404">
        <v>2030</v>
      </c>
      <c r="F79" s="138">
        <v>8800</v>
      </c>
      <c r="G79" s="139">
        <f t="shared" si="21"/>
        <v>17864000</v>
      </c>
      <c r="H79" s="139">
        <f t="shared" si="22"/>
        <v>1786400</v>
      </c>
      <c r="I79" s="139">
        <f t="shared" si="23"/>
        <v>19650400</v>
      </c>
      <c r="J79" s="147"/>
      <c r="K79" s="157"/>
    </row>
    <row r="80" spans="1:11" ht="22.5" customHeight="1">
      <c r="A80" s="144">
        <v>12</v>
      </c>
      <c r="B80" s="407">
        <v>42885</v>
      </c>
      <c r="C80" s="156" t="s">
        <v>719</v>
      </c>
      <c r="D80" s="147" t="s">
        <v>218</v>
      </c>
      <c r="E80" s="404">
        <v>2030</v>
      </c>
      <c r="F80" s="138">
        <v>8800</v>
      </c>
      <c r="G80" s="139">
        <f t="shared" si="21"/>
        <v>17864000</v>
      </c>
      <c r="H80" s="139">
        <f t="shared" si="22"/>
        <v>1786400</v>
      </c>
      <c r="I80" s="139">
        <f t="shared" si="23"/>
        <v>19650400</v>
      </c>
      <c r="J80" s="147"/>
      <c r="K80" s="157"/>
    </row>
    <row r="81" spans="1:11" ht="22.5" customHeight="1">
      <c r="A81" s="144">
        <v>13</v>
      </c>
      <c r="B81" s="407">
        <v>42886</v>
      </c>
      <c r="C81" s="156" t="s">
        <v>720</v>
      </c>
      <c r="D81" s="147" t="s">
        <v>218</v>
      </c>
      <c r="E81" s="404">
        <v>2030</v>
      </c>
      <c r="F81" s="138">
        <v>8800</v>
      </c>
      <c r="G81" s="139">
        <f t="shared" si="21"/>
        <v>17864000</v>
      </c>
      <c r="H81" s="139">
        <f t="shared" si="22"/>
        <v>1786400</v>
      </c>
      <c r="I81" s="139">
        <f t="shared" si="23"/>
        <v>19650400</v>
      </c>
      <c r="J81" s="147"/>
      <c r="K81" s="157"/>
    </row>
    <row r="82" spans="1:11" ht="22.5" customHeight="1">
      <c r="A82" s="144">
        <v>14</v>
      </c>
      <c r="B82" s="408">
        <v>42887</v>
      </c>
      <c r="C82" s="373" t="s">
        <v>721</v>
      </c>
      <c r="D82" s="147" t="s">
        <v>218</v>
      </c>
      <c r="E82" s="404">
        <v>2030</v>
      </c>
      <c r="F82" s="138">
        <v>8800</v>
      </c>
      <c r="G82" s="139">
        <f t="shared" si="21"/>
        <v>17864000</v>
      </c>
      <c r="H82" s="139">
        <f t="shared" si="22"/>
        <v>1786400</v>
      </c>
      <c r="I82" s="139">
        <f t="shared" si="23"/>
        <v>19650400</v>
      </c>
      <c r="J82" s="147"/>
      <c r="K82" s="157"/>
    </row>
    <row r="83" spans="1:11" ht="22.5" customHeight="1">
      <c r="A83" s="144">
        <v>15</v>
      </c>
      <c r="B83" s="408">
        <v>42888</v>
      </c>
      <c r="C83" s="373" t="s">
        <v>722</v>
      </c>
      <c r="D83" s="147" t="s">
        <v>218</v>
      </c>
      <c r="E83" s="404">
        <v>2030</v>
      </c>
      <c r="F83" s="138">
        <v>8800</v>
      </c>
      <c r="G83" s="139">
        <f t="shared" si="21"/>
        <v>17864000</v>
      </c>
      <c r="H83" s="139">
        <f t="shared" si="22"/>
        <v>1786400</v>
      </c>
      <c r="I83" s="139">
        <f t="shared" si="23"/>
        <v>19650400</v>
      </c>
      <c r="J83" s="147"/>
      <c r="K83" s="157"/>
    </row>
    <row r="84" spans="1:11" ht="22.5" customHeight="1">
      <c r="A84" s="144">
        <v>16</v>
      </c>
      <c r="B84" s="408">
        <v>42889</v>
      </c>
      <c r="C84" s="373" t="s">
        <v>723</v>
      </c>
      <c r="D84" s="147" t="s">
        <v>218</v>
      </c>
      <c r="E84" s="404">
        <v>2030</v>
      </c>
      <c r="F84" s="138">
        <v>8800</v>
      </c>
      <c r="G84" s="139">
        <f t="shared" si="21"/>
        <v>17864000</v>
      </c>
      <c r="H84" s="139">
        <f t="shared" si="22"/>
        <v>1786400</v>
      </c>
      <c r="I84" s="139">
        <f t="shared" si="23"/>
        <v>19650400</v>
      </c>
      <c r="J84" s="147"/>
      <c r="K84" s="157"/>
    </row>
    <row r="85" spans="1:11" ht="22.5" customHeight="1">
      <c r="A85" s="144">
        <v>17</v>
      </c>
      <c r="B85" s="408">
        <v>42892</v>
      </c>
      <c r="C85" s="373" t="s">
        <v>724</v>
      </c>
      <c r="D85" s="147" t="s">
        <v>218</v>
      </c>
      <c r="E85" s="404">
        <v>2030</v>
      </c>
      <c r="F85" s="138">
        <v>8800</v>
      </c>
      <c r="G85" s="139">
        <f t="shared" si="21"/>
        <v>17864000</v>
      </c>
      <c r="H85" s="139">
        <f t="shared" si="22"/>
        <v>1786400</v>
      </c>
      <c r="I85" s="139">
        <f t="shared" si="23"/>
        <v>19650400</v>
      </c>
      <c r="J85" s="147"/>
      <c r="K85" s="157"/>
    </row>
    <row r="86" spans="1:11" ht="22.5" customHeight="1">
      <c r="A86" s="368"/>
      <c r="B86" s="369"/>
      <c r="C86" s="369"/>
      <c r="D86" s="369"/>
      <c r="E86" s="370"/>
      <c r="F86" s="370"/>
      <c r="G86" s="370"/>
      <c r="H86" s="370"/>
      <c r="I86" s="370"/>
      <c r="J86" s="369"/>
    </row>
    <row r="87" spans="1:11" s="155" customFormat="1" ht="21" customHeight="1">
      <c r="A87" s="897" t="s">
        <v>19</v>
      </c>
      <c r="B87" s="897"/>
      <c r="C87" s="897"/>
      <c r="D87" s="897"/>
      <c r="E87" s="153">
        <f>SUM(E69:E86)</f>
        <v>34510</v>
      </c>
      <c r="F87" s="153"/>
      <c r="G87" s="153">
        <f>SUM(G69:G86)</f>
        <v>303688000</v>
      </c>
      <c r="H87" s="153">
        <f>SUM(H69:H86)</f>
        <v>30368800</v>
      </c>
      <c r="I87" s="153"/>
      <c r="J87" s="154"/>
    </row>
    <row r="89" spans="1:11" s="141" customFormat="1" ht="14.25">
      <c r="A89" s="141" t="s">
        <v>221</v>
      </c>
    </row>
    <row r="90" spans="1:11" s="141" customFormat="1" ht="14.25">
      <c r="A90" s="141" t="s">
        <v>222</v>
      </c>
    </row>
    <row r="91" spans="1:11" s="141" customFormat="1" ht="14.25">
      <c r="A91" s="141" t="s">
        <v>223</v>
      </c>
    </row>
    <row r="97" spans="1:11" s="141" customFormat="1" ht="28.5" customHeight="1">
      <c r="A97" s="896" t="s">
        <v>750</v>
      </c>
      <c r="B97" s="896"/>
      <c r="C97" s="896"/>
      <c r="D97" s="896"/>
      <c r="E97" s="896"/>
      <c r="F97" s="896"/>
      <c r="G97" s="896"/>
      <c r="H97" s="896"/>
      <c r="I97" s="896"/>
      <c r="J97" s="896"/>
    </row>
    <row r="98" spans="1:11" s="143" customFormat="1" ht="33.75" customHeight="1">
      <c r="A98" s="467" t="s">
        <v>0</v>
      </c>
      <c r="B98" s="467" t="s">
        <v>205</v>
      </c>
      <c r="C98" s="467" t="s">
        <v>206</v>
      </c>
      <c r="D98" s="467" t="s">
        <v>207</v>
      </c>
      <c r="E98" s="467" t="s">
        <v>7</v>
      </c>
      <c r="F98" s="467" t="s">
        <v>8</v>
      </c>
      <c r="G98" s="467" t="s">
        <v>9</v>
      </c>
      <c r="H98" s="467" t="s">
        <v>208</v>
      </c>
      <c r="I98" s="467" t="s">
        <v>465</v>
      </c>
      <c r="J98" s="467" t="s">
        <v>82</v>
      </c>
    </row>
    <row r="99" spans="1:11" ht="22.5" customHeight="1">
      <c r="A99" s="144">
        <v>1</v>
      </c>
      <c r="B99" s="468">
        <v>42829</v>
      </c>
      <c r="C99" s="156" t="s">
        <v>751</v>
      </c>
      <c r="D99" s="145" t="s">
        <v>218</v>
      </c>
      <c r="E99" s="466">
        <v>2030</v>
      </c>
      <c r="F99" s="138">
        <v>8800</v>
      </c>
      <c r="G99" s="138">
        <f t="shared" ref="G99:G108" si="24">E99*F99</f>
        <v>17864000</v>
      </c>
      <c r="H99" s="138">
        <f t="shared" ref="H99:H108" si="25">G99*10%</f>
        <v>1786400</v>
      </c>
      <c r="I99" s="138">
        <f t="shared" ref="I99:I109" si="26">G99+H99</f>
        <v>19650400</v>
      </c>
      <c r="J99" s="147"/>
      <c r="K99" s="157"/>
    </row>
    <row r="100" spans="1:11" ht="22.5" customHeight="1">
      <c r="A100" s="144">
        <v>2</v>
      </c>
      <c r="B100" s="468">
        <v>42872</v>
      </c>
      <c r="C100" s="156" t="s">
        <v>752</v>
      </c>
      <c r="D100" s="145" t="s">
        <v>218</v>
      </c>
      <c r="E100" s="466">
        <v>2030</v>
      </c>
      <c r="F100" s="138">
        <v>8800</v>
      </c>
      <c r="G100" s="138">
        <f t="shared" si="24"/>
        <v>17864000</v>
      </c>
      <c r="H100" s="138">
        <f t="shared" si="25"/>
        <v>1786400</v>
      </c>
      <c r="I100" s="138">
        <f t="shared" si="26"/>
        <v>19650400</v>
      </c>
      <c r="J100" s="147"/>
      <c r="K100" s="157"/>
    </row>
    <row r="101" spans="1:11" ht="22.5" customHeight="1">
      <c r="A101" s="144">
        <v>3</v>
      </c>
      <c r="B101" s="468">
        <v>42879</v>
      </c>
      <c r="C101" s="156" t="s">
        <v>753</v>
      </c>
      <c r="D101" s="145" t="s">
        <v>218</v>
      </c>
      <c r="E101" s="466">
        <v>2030</v>
      </c>
      <c r="F101" s="138">
        <v>8800</v>
      </c>
      <c r="G101" s="138">
        <f t="shared" si="24"/>
        <v>17864000</v>
      </c>
      <c r="H101" s="138">
        <f t="shared" si="25"/>
        <v>1786400</v>
      </c>
      <c r="I101" s="138">
        <f t="shared" si="26"/>
        <v>19650400</v>
      </c>
      <c r="J101" s="147"/>
      <c r="K101" s="157"/>
    </row>
    <row r="102" spans="1:11" ht="22.5" customHeight="1">
      <c r="A102" s="144">
        <v>4</v>
      </c>
      <c r="B102" s="468">
        <v>42886</v>
      </c>
      <c r="C102" s="152" t="s">
        <v>754</v>
      </c>
      <c r="D102" s="145" t="s">
        <v>218</v>
      </c>
      <c r="E102" s="466">
        <v>2030</v>
      </c>
      <c r="F102" s="138">
        <v>8800</v>
      </c>
      <c r="G102" s="138">
        <f t="shared" si="24"/>
        <v>17864000</v>
      </c>
      <c r="H102" s="138">
        <f t="shared" si="25"/>
        <v>1786400</v>
      </c>
      <c r="I102" s="138">
        <f t="shared" si="26"/>
        <v>19650400</v>
      </c>
      <c r="J102" s="147"/>
      <c r="K102" s="157"/>
    </row>
    <row r="103" spans="1:11" ht="22.5" customHeight="1">
      <c r="A103" s="144">
        <v>5</v>
      </c>
      <c r="B103" s="468">
        <v>42917</v>
      </c>
      <c r="C103" s="156"/>
      <c r="D103" s="145" t="s">
        <v>218</v>
      </c>
      <c r="E103" s="466">
        <v>2030</v>
      </c>
      <c r="F103" s="138">
        <v>8800</v>
      </c>
      <c r="G103" s="138">
        <f t="shared" si="24"/>
        <v>17864000</v>
      </c>
      <c r="H103" s="138">
        <f t="shared" si="25"/>
        <v>1786400</v>
      </c>
      <c r="I103" s="138">
        <f t="shared" si="26"/>
        <v>19650400</v>
      </c>
      <c r="J103" s="147"/>
      <c r="K103" s="157"/>
    </row>
    <row r="104" spans="1:11" ht="22.5" customHeight="1">
      <c r="A104" s="144">
        <v>6</v>
      </c>
      <c r="B104" s="468">
        <v>42919</v>
      </c>
      <c r="C104" s="156"/>
      <c r="D104" s="145" t="s">
        <v>218</v>
      </c>
      <c r="E104" s="466">
        <v>2030</v>
      </c>
      <c r="F104" s="138">
        <v>8800</v>
      </c>
      <c r="G104" s="138">
        <f t="shared" si="24"/>
        <v>17864000</v>
      </c>
      <c r="H104" s="138">
        <f t="shared" si="25"/>
        <v>1786400</v>
      </c>
      <c r="I104" s="138">
        <f t="shared" si="26"/>
        <v>19650400</v>
      </c>
      <c r="J104" s="147"/>
      <c r="K104" s="157"/>
    </row>
    <row r="105" spans="1:11" ht="22.5" customHeight="1">
      <c r="A105" s="144">
        <v>7</v>
      </c>
      <c r="B105" s="468">
        <v>42920</v>
      </c>
      <c r="C105" s="156"/>
      <c r="D105" s="145" t="s">
        <v>218</v>
      </c>
      <c r="E105" s="466">
        <v>2030</v>
      </c>
      <c r="F105" s="138">
        <v>8800</v>
      </c>
      <c r="G105" s="138">
        <f t="shared" si="24"/>
        <v>17864000</v>
      </c>
      <c r="H105" s="138">
        <f t="shared" si="25"/>
        <v>1786400</v>
      </c>
      <c r="I105" s="138">
        <f t="shared" si="26"/>
        <v>19650400</v>
      </c>
      <c r="J105" s="147"/>
      <c r="K105" s="157"/>
    </row>
    <row r="106" spans="1:11" ht="22.5" customHeight="1">
      <c r="A106" s="144">
        <v>8</v>
      </c>
      <c r="B106" s="468">
        <v>42921</v>
      </c>
      <c r="C106" s="156"/>
      <c r="D106" s="145" t="s">
        <v>218</v>
      </c>
      <c r="E106" s="466">
        <v>2030</v>
      </c>
      <c r="F106" s="138">
        <v>8800</v>
      </c>
      <c r="G106" s="138">
        <f t="shared" si="24"/>
        <v>17864000</v>
      </c>
      <c r="H106" s="138">
        <f t="shared" si="25"/>
        <v>1786400</v>
      </c>
      <c r="I106" s="138">
        <f t="shared" si="26"/>
        <v>19650400</v>
      </c>
      <c r="J106" s="147"/>
      <c r="K106" s="157"/>
    </row>
    <row r="107" spans="1:11" ht="22.5" customHeight="1">
      <c r="A107" s="144">
        <v>9</v>
      </c>
      <c r="B107" s="468">
        <v>42922</v>
      </c>
      <c r="C107" s="156"/>
      <c r="D107" s="145" t="s">
        <v>218</v>
      </c>
      <c r="E107" s="466">
        <v>2030</v>
      </c>
      <c r="F107" s="138">
        <v>8800</v>
      </c>
      <c r="G107" s="138">
        <f t="shared" si="24"/>
        <v>17864000</v>
      </c>
      <c r="H107" s="138">
        <f t="shared" si="25"/>
        <v>1786400</v>
      </c>
      <c r="I107" s="138">
        <f t="shared" si="26"/>
        <v>19650400</v>
      </c>
      <c r="J107" s="147"/>
      <c r="K107" s="157"/>
    </row>
    <row r="108" spans="1:11" ht="22.5" customHeight="1">
      <c r="A108" s="144">
        <v>10</v>
      </c>
      <c r="B108" s="468">
        <v>42923</v>
      </c>
      <c r="C108" s="156"/>
      <c r="D108" s="145" t="s">
        <v>218</v>
      </c>
      <c r="E108" s="466">
        <v>2030</v>
      </c>
      <c r="F108" s="138">
        <v>8800</v>
      </c>
      <c r="G108" s="138">
        <f t="shared" si="24"/>
        <v>17864000</v>
      </c>
      <c r="H108" s="138">
        <f t="shared" si="25"/>
        <v>1786400</v>
      </c>
      <c r="I108" s="138">
        <f t="shared" si="26"/>
        <v>19650400</v>
      </c>
      <c r="J108" s="147"/>
      <c r="K108" s="157"/>
    </row>
    <row r="109" spans="1:11" ht="22.5" customHeight="1">
      <c r="A109" s="144">
        <v>11</v>
      </c>
      <c r="B109" s="469">
        <v>42926</v>
      </c>
      <c r="C109" s="373"/>
      <c r="D109" s="145" t="s">
        <v>218</v>
      </c>
      <c r="E109" s="466">
        <v>2030</v>
      </c>
      <c r="F109" s="138">
        <v>8800</v>
      </c>
      <c r="G109" s="138">
        <f t="shared" ref="G109" si="27">E109*F109</f>
        <v>17864000</v>
      </c>
      <c r="H109" s="138">
        <f t="shared" ref="H109" si="28">G109*10%</f>
        <v>1786400</v>
      </c>
      <c r="I109" s="138">
        <f t="shared" si="26"/>
        <v>19650400</v>
      </c>
      <c r="J109" s="149"/>
      <c r="K109" s="157"/>
    </row>
    <row r="110" spans="1:11" ht="22.5" customHeight="1">
      <c r="A110" s="368"/>
      <c r="B110" s="369"/>
      <c r="C110" s="369"/>
      <c r="D110" s="369"/>
      <c r="E110" s="370"/>
      <c r="F110" s="370"/>
      <c r="G110" s="370"/>
      <c r="H110" s="370"/>
      <c r="I110" s="370"/>
      <c r="J110" s="369"/>
    </row>
    <row r="111" spans="1:11" s="155" customFormat="1" ht="21" customHeight="1">
      <c r="A111" s="897" t="s">
        <v>19</v>
      </c>
      <c r="B111" s="897"/>
      <c r="C111" s="897"/>
      <c r="D111" s="897"/>
      <c r="E111" s="153">
        <f>SUM(E99:E110)</f>
        <v>22330</v>
      </c>
      <c r="F111" s="153"/>
      <c r="G111" s="153">
        <f>SUM(G99:G110)</f>
        <v>196504000</v>
      </c>
      <c r="H111" s="153">
        <f>SUM(H99:H110)</f>
        <v>19650400</v>
      </c>
      <c r="I111" s="153"/>
      <c r="J111" s="154"/>
    </row>
    <row r="118" spans="1:11" s="141" customFormat="1" ht="28.5" customHeight="1">
      <c r="A118" s="896" t="s">
        <v>909</v>
      </c>
      <c r="B118" s="896"/>
      <c r="C118" s="896"/>
      <c r="D118" s="896"/>
      <c r="E118" s="896"/>
      <c r="F118" s="896"/>
      <c r="G118" s="896"/>
      <c r="H118" s="896"/>
      <c r="I118" s="896"/>
      <c r="J118" s="896"/>
    </row>
    <row r="119" spans="1:11" s="143" customFormat="1" ht="33.75" customHeight="1">
      <c r="A119" s="571" t="s">
        <v>0</v>
      </c>
      <c r="B119" s="571" t="s">
        <v>205</v>
      </c>
      <c r="C119" s="571" t="s">
        <v>206</v>
      </c>
      <c r="D119" s="571" t="s">
        <v>207</v>
      </c>
      <c r="E119" s="571" t="s">
        <v>7</v>
      </c>
      <c r="F119" s="571" t="s">
        <v>8</v>
      </c>
      <c r="G119" s="571" t="s">
        <v>9</v>
      </c>
      <c r="H119" s="571" t="s">
        <v>208</v>
      </c>
      <c r="I119" s="571" t="s">
        <v>465</v>
      </c>
      <c r="J119" s="571" t="s">
        <v>82</v>
      </c>
    </row>
    <row r="120" spans="1:11" ht="20.25" customHeight="1">
      <c r="A120" s="144">
        <v>1</v>
      </c>
      <c r="B120" s="572">
        <v>42945</v>
      </c>
      <c r="C120" s="156" t="s">
        <v>911</v>
      </c>
      <c r="D120" s="145" t="s">
        <v>218</v>
      </c>
      <c r="E120" s="569">
        <v>3045</v>
      </c>
      <c r="F120" s="138">
        <v>5900</v>
      </c>
      <c r="G120" s="138">
        <f t="shared" ref="G120:G133" si="29">E120*F120</f>
        <v>17965500</v>
      </c>
      <c r="H120" s="138">
        <f t="shared" ref="H120:H133" si="30">G120*10%</f>
        <v>1796550</v>
      </c>
      <c r="I120" s="138">
        <f t="shared" ref="I120:I133" si="31">G120+H120</f>
        <v>19762050</v>
      </c>
      <c r="J120" s="147"/>
      <c r="K120" s="157"/>
    </row>
    <row r="121" spans="1:11" ht="20.25" customHeight="1">
      <c r="A121" s="144">
        <v>2</v>
      </c>
      <c r="B121" s="572">
        <v>42957</v>
      </c>
      <c r="C121" s="156" t="s">
        <v>912</v>
      </c>
      <c r="D121" s="145" t="s">
        <v>218</v>
      </c>
      <c r="E121" s="569">
        <v>3045</v>
      </c>
      <c r="F121" s="138">
        <v>5900</v>
      </c>
      <c r="G121" s="138">
        <f t="shared" si="29"/>
        <v>17965500</v>
      </c>
      <c r="H121" s="138">
        <f t="shared" si="30"/>
        <v>1796550</v>
      </c>
      <c r="I121" s="138">
        <f t="shared" si="31"/>
        <v>19762050</v>
      </c>
      <c r="J121" s="147"/>
      <c r="K121" s="157"/>
    </row>
    <row r="122" spans="1:11" ht="20.25" customHeight="1">
      <c r="A122" s="144">
        <v>3</v>
      </c>
      <c r="B122" s="572">
        <v>42958</v>
      </c>
      <c r="C122" s="156" t="s">
        <v>913</v>
      </c>
      <c r="D122" s="145" t="s">
        <v>218</v>
      </c>
      <c r="E122" s="569">
        <v>3045</v>
      </c>
      <c r="F122" s="138">
        <v>5900</v>
      </c>
      <c r="G122" s="138">
        <f t="shared" si="29"/>
        <v>17965500</v>
      </c>
      <c r="H122" s="138">
        <f t="shared" si="30"/>
        <v>1796550</v>
      </c>
      <c r="I122" s="138">
        <f t="shared" si="31"/>
        <v>19762050</v>
      </c>
      <c r="J122" s="147"/>
      <c r="K122" s="157"/>
    </row>
    <row r="123" spans="1:11" ht="20.25" customHeight="1">
      <c r="A123" s="144">
        <v>4</v>
      </c>
      <c r="B123" s="572">
        <v>42960</v>
      </c>
      <c r="C123" s="152" t="s">
        <v>914</v>
      </c>
      <c r="D123" s="145" t="s">
        <v>218</v>
      </c>
      <c r="E123" s="569">
        <v>3045</v>
      </c>
      <c r="F123" s="138">
        <v>5900</v>
      </c>
      <c r="G123" s="138">
        <f t="shared" si="29"/>
        <v>17965500</v>
      </c>
      <c r="H123" s="138">
        <f t="shared" si="30"/>
        <v>1796550</v>
      </c>
      <c r="I123" s="138">
        <f t="shared" si="31"/>
        <v>19762050</v>
      </c>
      <c r="J123" s="147"/>
      <c r="K123" s="157"/>
    </row>
    <row r="124" spans="1:11" ht="20.25" customHeight="1">
      <c r="A124" s="144">
        <v>5</v>
      </c>
      <c r="B124" s="572">
        <v>42965</v>
      </c>
      <c r="C124" s="156" t="s">
        <v>915</v>
      </c>
      <c r="D124" s="145" t="s">
        <v>218</v>
      </c>
      <c r="E124" s="569">
        <v>3045</v>
      </c>
      <c r="F124" s="138">
        <v>5900</v>
      </c>
      <c r="G124" s="138">
        <f t="shared" si="29"/>
        <v>17965500</v>
      </c>
      <c r="H124" s="138">
        <f t="shared" si="30"/>
        <v>1796550</v>
      </c>
      <c r="I124" s="138">
        <f t="shared" si="31"/>
        <v>19762050</v>
      </c>
      <c r="J124" s="147"/>
      <c r="K124" s="157"/>
    </row>
    <row r="125" spans="1:11" ht="20.25" customHeight="1">
      <c r="A125" s="144">
        <v>6</v>
      </c>
      <c r="B125" s="572">
        <v>42971</v>
      </c>
      <c r="C125" s="156" t="s">
        <v>916</v>
      </c>
      <c r="D125" s="145" t="s">
        <v>218</v>
      </c>
      <c r="E125" s="569">
        <v>3045</v>
      </c>
      <c r="F125" s="138">
        <v>5900</v>
      </c>
      <c r="G125" s="138">
        <f t="shared" si="29"/>
        <v>17965500</v>
      </c>
      <c r="H125" s="138">
        <f t="shared" si="30"/>
        <v>1796550</v>
      </c>
      <c r="I125" s="138">
        <f t="shared" si="31"/>
        <v>19762050</v>
      </c>
      <c r="J125" s="147"/>
      <c r="K125" s="157"/>
    </row>
    <row r="126" spans="1:11" ht="20.25" customHeight="1">
      <c r="A126" s="144">
        <v>7</v>
      </c>
      <c r="B126" s="572">
        <v>42978</v>
      </c>
      <c r="C126" s="156" t="s">
        <v>917</v>
      </c>
      <c r="D126" s="145" t="s">
        <v>218</v>
      </c>
      <c r="E126" s="569">
        <v>3045</v>
      </c>
      <c r="F126" s="138">
        <v>5900</v>
      </c>
      <c r="G126" s="138">
        <f t="shared" si="29"/>
        <v>17965500</v>
      </c>
      <c r="H126" s="138">
        <f t="shared" si="30"/>
        <v>1796550</v>
      </c>
      <c r="I126" s="138">
        <f t="shared" si="31"/>
        <v>19762050</v>
      </c>
      <c r="J126" s="147"/>
      <c r="K126" s="157"/>
    </row>
    <row r="127" spans="1:11" ht="20.25" customHeight="1">
      <c r="A127" s="144">
        <v>8</v>
      </c>
      <c r="B127" s="572">
        <v>42985</v>
      </c>
      <c r="C127" s="156" t="s">
        <v>918</v>
      </c>
      <c r="D127" s="145" t="s">
        <v>218</v>
      </c>
      <c r="E127" s="569">
        <v>3045</v>
      </c>
      <c r="F127" s="138">
        <v>5900</v>
      </c>
      <c r="G127" s="138">
        <f t="shared" ref="G127:G130" si="32">E127*F127</f>
        <v>17965500</v>
      </c>
      <c r="H127" s="138">
        <f t="shared" ref="H127:H130" si="33">G127*10%</f>
        <v>1796550</v>
      </c>
      <c r="I127" s="138">
        <f t="shared" ref="I127:I130" si="34">G127+H127</f>
        <v>19762050</v>
      </c>
      <c r="J127" s="147"/>
      <c r="K127" s="157"/>
    </row>
    <row r="128" spans="1:11" ht="20.25" customHeight="1">
      <c r="A128" s="144">
        <v>9</v>
      </c>
      <c r="B128" s="572">
        <v>42989</v>
      </c>
      <c r="C128" s="156" t="s">
        <v>919</v>
      </c>
      <c r="D128" s="145" t="s">
        <v>218</v>
      </c>
      <c r="E128" s="569">
        <v>3045</v>
      </c>
      <c r="F128" s="138">
        <v>5900</v>
      </c>
      <c r="G128" s="138">
        <f t="shared" si="32"/>
        <v>17965500</v>
      </c>
      <c r="H128" s="138">
        <f t="shared" si="33"/>
        <v>1796550</v>
      </c>
      <c r="I128" s="138">
        <f t="shared" si="34"/>
        <v>19762050</v>
      </c>
      <c r="J128" s="147"/>
      <c r="K128" s="157"/>
    </row>
    <row r="129" spans="1:11" ht="20.25" customHeight="1">
      <c r="A129" s="144">
        <v>10</v>
      </c>
      <c r="B129" s="572">
        <v>42992</v>
      </c>
      <c r="C129" s="156" t="s">
        <v>920</v>
      </c>
      <c r="D129" s="145" t="s">
        <v>218</v>
      </c>
      <c r="E129" s="569">
        <v>3045</v>
      </c>
      <c r="F129" s="138">
        <v>5900</v>
      </c>
      <c r="G129" s="138">
        <f t="shared" si="32"/>
        <v>17965500</v>
      </c>
      <c r="H129" s="138">
        <f t="shared" si="33"/>
        <v>1796550</v>
      </c>
      <c r="I129" s="138">
        <f t="shared" si="34"/>
        <v>19762050</v>
      </c>
      <c r="J129" s="147"/>
      <c r="K129" s="157"/>
    </row>
    <row r="130" spans="1:11" ht="20.25" customHeight="1">
      <c r="A130" s="144">
        <v>11</v>
      </c>
      <c r="B130" s="572">
        <v>42994</v>
      </c>
      <c r="C130" s="373" t="s">
        <v>921</v>
      </c>
      <c r="D130" s="145" t="s">
        <v>218</v>
      </c>
      <c r="E130" s="569">
        <v>3045</v>
      </c>
      <c r="F130" s="138">
        <v>5900</v>
      </c>
      <c r="G130" s="138">
        <f t="shared" si="32"/>
        <v>17965500</v>
      </c>
      <c r="H130" s="138">
        <f t="shared" si="33"/>
        <v>1796550</v>
      </c>
      <c r="I130" s="138">
        <f t="shared" si="34"/>
        <v>19762050</v>
      </c>
      <c r="J130" s="149"/>
      <c r="K130" s="157"/>
    </row>
    <row r="131" spans="1:11" ht="20.25" customHeight="1">
      <c r="A131" s="144">
        <v>12</v>
      </c>
      <c r="B131" s="572">
        <v>42999</v>
      </c>
      <c r="C131" s="156"/>
      <c r="D131" s="145" t="s">
        <v>218</v>
      </c>
      <c r="E131" s="569">
        <v>3045</v>
      </c>
      <c r="F131" s="138">
        <v>5900</v>
      </c>
      <c r="G131" s="138">
        <f t="shared" si="29"/>
        <v>17965500</v>
      </c>
      <c r="H131" s="138">
        <f t="shared" si="30"/>
        <v>1796550</v>
      </c>
      <c r="I131" s="138">
        <f t="shared" si="31"/>
        <v>19762050</v>
      </c>
      <c r="J131" s="147"/>
      <c r="K131" s="157"/>
    </row>
    <row r="132" spans="1:11" ht="20.25" customHeight="1">
      <c r="A132" s="144">
        <v>13</v>
      </c>
      <c r="B132" s="576">
        <v>43000</v>
      </c>
      <c r="C132" s="156"/>
      <c r="D132" s="145" t="s">
        <v>218</v>
      </c>
      <c r="E132" s="569">
        <v>3045</v>
      </c>
      <c r="F132" s="138">
        <v>5900</v>
      </c>
      <c r="G132" s="138">
        <f t="shared" si="29"/>
        <v>17965500</v>
      </c>
      <c r="H132" s="138">
        <f t="shared" si="30"/>
        <v>1796550</v>
      </c>
      <c r="I132" s="138">
        <f t="shared" si="31"/>
        <v>19762050</v>
      </c>
      <c r="J132" s="147"/>
      <c r="K132" s="157"/>
    </row>
    <row r="133" spans="1:11" ht="20.25" customHeight="1">
      <c r="A133" s="144">
        <v>14</v>
      </c>
      <c r="B133" s="572">
        <v>43003</v>
      </c>
      <c r="C133" s="156"/>
      <c r="D133" s="145" t="s">
        <v>218</v>
      </c>
      <c r="E133" s="569">
        <v>3045</v>
      </c>
      <c r="F133" s="138">
        <v>5900</v>
      </c>
      <c r="G133" s="138">
        <f t="shared" si="29"/>
        <v>17965500</v>
      </c>
      <c r="H133" s="138">
        <f t="shared" si="30"/>
        <v>1796550</v>
      </c>
      <c r="I133" s="138">
        <f t="shared" si="31"/>
        <v>19762050</v>
      </c>
      <c r="J133" s="147"/>
      <c r="K133" s="157"/>
    </row>
    <row r="134" spans="1:11" ht="20.25" customHeight="1">
      <c r="A134" s="368"/>
      <c r="B134" s="369"/>
      <c r="C134" s="369"/>
      <c r="D134" s="369"/>
      <c r="E134" s="370"/>
      <c r="F134" s="370"/>
      <c r="G134" s="370"/>
      <c r="H134" s="370"/>
      <c r="I134" s="370"/>
      <c r="J134" s="369"/>
    </row>
    <row r="135" spans="1:11" s="155" customFormat="1" ht="20.25" customHeight="1">
      <c r="A135" s="897" t="s">
        <v>19</v>
      </c>
      <c r="B135" s="897"/>
      <c r="C135" s="897"/>
      <c r="D135" s="897"/>
      <c r="E135" s="153">
        <f>SUM(E120:E134)</f>
        <v>42630</v>
      </c>
      <c r="F135" s="153"/>
      <c r="G135" s="153">
        <f>SUM(G120:G134)</f>
        <v>251517000</v>
      </c>
      <c r="H135" s="153">
        <f>SUM(H120:H134)</f>
        <v>25151700</v>
      </c>
      <c r="I135" s="153"/>
      <c r="J135" s="154"/>
    </row>
    <row r="137" spans="1:11" s="141" customFormat="1" ht="14.25">
      <c r="A137" s="570"/>
      <c r="D137" s="575" t="s">
        <v>908</v>
      </c>
      <c r="E137" s="575">
        <f>E135/2030</f>
        <v>21</v>
      </c>
    </row>
    <row r="139" spans="1:11" s="141" customFormat="1" ht="28.5" customHeight="1">
      <c r="A139" s="896" t="s">
        <v>1023</v>
      </c>
      <c r="B139" s="896"/>
      <c r="C139" s="896"/>
      <c r="D139" s="896"/>
      <c r="E139" s="896"/>
      <c r="F139" s="896"/>
      <c r="G139" s="896"/>
      <c r="H139" s="896"/>
      <c r="I139" s="896"/>
      <c r="J139" s="896"/>
    </row>
    <row r="140" spans="1:11" s="143" customFormat="1" ht="33.75" customHeight="1">
      <c r="A140" s="571" t="s">
        <v>0</v>
      </c>
      <c r="B140" s="571" t="s">
        <v>205</v>
      </c>
      <c r="C140" s="571" t="s">
        <v>206</v>
      </c>
      <c r="D140" s="571" t="s">
        <v>207</v>
      </c>
      <c r="E140" s="571" t="s">
        <v>7</v>
      </c>
      <c r="F140" s="571" t="s">
        <v>8</v>
      </c>
      <c r="G140" s="571" t="s">
        <v>9</v>
      </c>
      <c r="H140" s="571" t="s">
        <v>208</v>
      </c>
      <c r="I140" s="571" t="s">
        <v>465</v>
      </c>
      <c r="J140" s="571" t="s">
        <v>82</v>
      </c>
    </row>
    <row r="141" spans="1:11" ht="21" customHeight="1">
      <c r="A141" s="144">
        <v>1</v>
      </c>
      <c r="B141" s="572">
        <v>43003</v>
      </c>
      <c r="C141" s="156" t="s">
        <v>1024</v>
      </c>
      <c r="D141" s="145" t="s">
        <v>218</v>
      </c>
      <c r="E141" s="569">
        <v>3045</v>
      </c>
      <c r="F141" s="138">
        <v>5900</v>
      </c>
      <c r="G141" s="138">
        <f t="shared" ref="G141:G149" si="35">E141*F141</f>
        <v>17965500</v>
      </c>
      <c r="H141" s="138">
        <f t="shared" ref="H141:H149" si="36">G141*10%</f>
        <v>1796550</v>
      </c>
      <c r="I141" s="138">
        <f t="shared" ref="I141:I149" si="37">G141+H141</f>
        <v>19762050</v>
      </c>
      <c r="J141" s="147"/>
      <c r="K141" s="157"/>
    </row>
    <row r="142" spans="1:11" ht="21" customHeight="1">
      <c r="A142" s="144">
        <v>2</v>
      </c>
      <c r="B142" s="576">
        <v>43004</v>
      </c>
      <c r="C142" s="156" t="s">
        <v>1025</v>
      </c>
      <c r="D142" s="145" t="s">
        <v>218</v>
      </c>
      <c r="E142" s="569">
        <v>3045</v>
      </c>
      <c r="F142" s="138">
        <v>5900</v>
      </c>
      <c r="G142" s="138">
        <f t="shared" si="35"/>
        <v>17965500</v>
      </c>
      <c r="H142" s="138">
        <f t="shared" si="36"/>
        <v>1796550</v>
      </c>
      <c r="I142" s="138">
        <f t="shared" si="37"/>
        <v>19762050</v>
      </c>
      <c r="J142" s="147"/>
      <c r="K142" s="157"/>
    </row>
    <row r="143" spans="1:11" ht="21" customHeight="1">
      <c r="A143" s="144">
        <v>3</v>
      </c>
      <c r="B143" s="634">
        <v>43005</v>
      </c>
      <c r="C143" s="156" t="s">
        <v>1032</v>
      </c>
      <c r="D143" s="145" t="s">
        <v>218</v>
      </c>
      <c r="E143" s="632">
        <v>3045</v>
      </c>
      <c r="F143" s="138">
        <v>5900</v>
      </c>
      <c r="G143" s="138">
        <f t="shared" ref="G143" si="38">E143*F143</f>
        <v>17965500</v>
      </c>
      <c r="H143" s="138">
        <f t="shared" ref="H143" si="39">G143*10%</f>
        <v>1796550</v>
      </c>
      <c r="I143" s="138">
        <f t="shared" ref="I143" si="40">G143+H143</f>
        <v>19762050</v>
      </c>
      <c r="J143" s="147"/>
      <c r="K143" s="157"/>
    </row>
    <row r="144" spans="1:11" ht="21" customHeight="1">
      <c r="A144" s="144">
        <v>4</v>
      </c>
      <c r="B144" s="634">
        <v>43006</v>
      </c>
      <c r="C144" s="156" t="s">
        <v>1026</v>
      </c>
      <c r="D144" s="145" t="s">
        <v>218</v>
      </c>
      <c r="E144" s="569">
        <v>3045</v>
      </c>
      <c r="F144" s="138">
        <v>5900</v>
      </c>
      <c r="G144" s="138">
        <f t="shared" si="35"/>
        <v>17965500</v>
      </c>
      <c r="H144" s="138">
        <f t="shared" si="36"/>
        <v>1796550</v>
      </c>
      <c r="I144" s="138">
        <f t="shared" si="37"/>
        <v>19762050</v>
      </c>
      <c r="J144" s="147"/>
      <c r="K144" s="157"/>
    </row>
    <row r="145" spans="1:11" ht="21" customHeight="1">
      <c r="A145" s="144">
        <v>5</v>
      </c>
      <c r="B145" s="634">
        <v>43007</v>
      </c>
      <c r="C145" s="152" t="s">
        <v>1027</v>
      </c>
      <c r="D145" s="145" t="s">
        <v>218</v>
      </c>
      <c r="E145" s="569">
        <v>3045</v>
      </c>
      <c r="F145" s="138">
        <v>5900</v>
      </c>
      <c r="G145" s="138">
        <f t="shared" si="35"/>
        <v>17965500</v>
      </c>
      <c r="H145" s="138">
        <f t="shared" si="36"/>
        <v>1796550</v>
      </c>
      <c r="I145" s="138">
        <f t="shared" si="37"/>
        <v>19762050</v>
      </c>
      <c r="J145" s="147"/>
      <c r="K145" s="157"/>
    </row>
    <row r="146" spans="1:11" ht="21" customHeight="1">
      <c r="A146" s="144">
        <v>6</v>
      </c>
      <c r="B146" s="634">
        <v>43008</v>
      </c>
      <c r="C146" s="156" t="s">
        <v>1028</v>
      </c>
      <c r="D146" s="145" t="s">
        <v>218</v>
      </c>
      <c r="E146" s="569">
        <v>3045</v>
      </c>
      <c r="F146" s="138">
        <v>5900</v>
      </c>
      <c r="G146" s="138">
        <f t="shared" si="35"/>
        <v>17965500</v>
      </c>
      <c r="H146" s="138">
        <f t="shared" si="36"/>
        <v>1796550</v>
      </c>
      <c r="I146" s="138">
        <f t="shared" si="37"/>
        <v>19762050</v>
      </c>
      <c r="J146" s="147"/>
      <c r="K146" s="157"/>
    </row>
    <row r="147" spans="1:11" ht="21" customHeight="1">
      <c r="A147" s="144">
        <v>7</v>
      </c>
      <c r="B147" s="576">
        <v>43010</v>
      </c>
      <c r="C147" s="156" t="s">
        <v>1029</v>
      </c>
      <c r="D147" s="145" t="s">
        <v>218</v>
      </c>
      <c r="E147" s="569">
        <v>3045</v>
      </c>
      <c r="F147" s="138">
        <v>5900</v>
      </c>
      <c r="G147" s="138">
        <f t="shared" si="35"/>
        <v>17965500</v>
      </c>
      <c r="H147" s="138">
        <f t="shared" si="36"/>
        <v>1796550</v>
      </c>
      <c r="I147" s="138">
        <f t="shared" si="37"/>
        <v>19762050</v>
      </c>
      <c r="J147" s="147"/>
      <c r="K147" s="157"/>
    </row>
    <row r="148" spans="1:11" ht="21" customHeight="1">
      <c r="A148" s="144">
        <v>8</v>
      </c>
      <c r="B148" s="634">
        <v>43011</v>
      </c>
      <c r="C148" s="156" t="s">
        <v>1030</v>
      </c>
      <c r="D148" s="145" t="s">
        <v>218</v>
      </c>
      <c r="E148" s="569">
        <v>3045</v>
      </c>
      <c r="F148" s="138">
        <v>5900</v>
      </c>
      <c r="G148" s="138">
        <f t="shared" si="35"/>
        <v>17965500</v>
      </c>
      <c r="H148" s="138">
        <f t="shared" si="36"/>
        <v>1796550</v>
      </c>
      <c r="I148" s="138">
        <f t="shared" si="37"/>
        <v>19762050</v>
      </c>
      <c r="J148" s="147"/>
      <c r="K148" s="157"/>
    </row>
    <row r="149" spans="1:11" ht="21" customHeight="1">
      <c r="A149" s="144">
        <v>9</v>
      </c>
      <c r="B149" s="634">
        <v>43012</v>
      </c>
      <c r="C149" s="156" t="s">
        <v>1031</v>
      </c>
      <c r="D149" s="145" t="s">
        <v>218</v>
      </c>
      <c r="E149" s="569">
        <v>3045</v>
      </c>
      <c r="F149" s="138">
        <v>5900</v>
      </c>
      <c r="G149" s="138">
        <f t="shared" si="35"/>
        <v>17965500</v>
      </c>
      <c r="H149" s="138">
        <f t="shared" si="36"/>
        <v>1796550</v>
      </c>
      <c r="I149" s="138">
        <f t="shared" si="37"/>
        <v>19762050</v>
      </c>
      <c r="J149" s="147"/>
      <c r="K149" s="157"/>
    </row>
    <row r="150" spans="1:11" ht="21" customHeight="1">
      <c r="A150" s="368"/>
      <c r="B150" s="369"/>
      <c r="C150" s="369"/>
      <c r="D150" s="369"/>
      <c r="E150" s="370"/>
      <c r="F150" s="370"/>
      <c r="G150" s="370"/>
      <c r="H150" s="370"/>
      <c r="I150" s="370"/>
      <c r="J150" s="369"/>
    </row>
    <row r="151" spans="1:11" s="155" customFormat="1" ht="21" customHeight="1">
      <c r="A151" s="897" t="s">
        <v>19</v>
      </c>
      <c r="B151" s="897"/>
      <c r="C151" s="897"/>
      <c r="D151" s="897"/>
      <c r="E151" s="153">
        <f>SUM(E141:E150)</f>
        <v>27405</v>
      </c>
      <c r="F151" s="153"/>
      <c r="G151" s="153">
        <f>SUM(G141:G150)</f>
        <v>161689500</v>
      </c>
      <c r="H151" s="153">
        <f>SUM(H141:H150)</f>
        <v>16168950</v>
      </c>
      <c r="I151" s="153"/>
      <c r="J151" s="154"/>
    </row>
    <row r="153" spans="1:11" s="141" customFormat="1" ht="14.25">
      <c r="A153" s="570"/>
      <c r="D153" s="575" t="s">
        <v>908</v>
      </c>
      <c r="E153" s="575">
        <f>E151/2030</f>
        <v>13.5</v>
      </c>
    </row>
    <row r="156" spans="1:11" s="141" customFormat="1" ht="28.5" customHeight="1">
      <c r="A156" s="896" t="s">
        <v>1111</v>
      </c>
      <c r="B156" s="896"/>
      <c r="C156" s="896"/>
      <c r="D156" s="896"/>
      <c r="E156" s="896"/>
      <c r="F156" s="896"/>
      <c r="G156" s="896"/>
      <c r="H156" s="896"/>
      <c r="I156" s="896"/>
      <c r="J156" s="896"/>
    </row>
    <row r="157" spans="1:11" s="143" customFormat="1" ht="33.75" customHeight="1">
      <c r="A157" s="633" t="s">
        <v>0</v>
      </c>
      <c r="B157" s="633" t="s">
        <v>205</v>
      </c>
      <c r="C157" s="633" t="s">
        <v>206</v>
      </c>
      <c r="D157" s="633" t="s">
        <v>207</v>
      </c>
      <c r="E157" s="633" t="s">
        <v>7</v>
      </c>
      <c r="F157" s="633" t="s">
        <v>8</v>
      </c>
      <c r="G157" s="633" t="s">
        <v>9</v>
      </c>
      <c r="H157" s="633" t="s">
        <v>208</v>
      </c>
      <c r="I157" s="633" t="s">
        <v>465</v>
      </c>
      <c r="J157" s="633" t="s">
        <v>82</v>
      </c>
    </row>
    <row r="158" spans="1:11" ht="21" customHeight="1">
      <c r="A158" s="144">
        <v>1</v>
      </c>
      <c r="B158" s="634">
        <v>42981</v>
      </c>
      <c r="C158" s="156" t="s">
        <v>1112</v>
      </c>
      <c r="D158" s="145" t="s">
        <v>218</v>
      </c>
      <c r="E158" s="632">
        <v>3045</v>
      </c>
      <c r="F158" s="138">
        <v>5900</v>
      </c>
      <c r="G158" s="138">
        <f t="shared" ref="G158:G166" si="41">E158*F158</f>
        <v>17965500</v>
      </c>
      <c r="H158" s="138">
        <f t="shared" ref="H158:H166" si="42">G158*10%</f>
        <v>1796550</v>
      </c>
      <c r="I158" s="138">
        <f t="shared" ref="I158:I166" si="43">G158+H158</f>
        <v>19762050</v>
      </c>
      <c r="J158" s="147"/>
      <c r="K158" s="157"/>
    </row>
    <row r="159" spans="1:11" ht="21" customHeight="1">
      <c r="A159" s="144">
        <v>2</v>
      </c>
      <c r="B159" s="634">
        <v>43004</v>
      </c>
      <c r="C159" s="156" t="s">
        <v>1034</v>
      </c>
      <c r="D159" s="145" t="s">
        <v>218</v>
      </c>
      <c r="E159" s="632">
        <v>3045</v>
      </c>
      <c r="F159" s="138">
        <v>5900</v>
      </c>
      <c r="G159" s="138">
        <f t="shared" si="41"/>
        <v>17965500</v>
      </c>
      <c r="H159" s="138">
        <f t="shared" si="42"/>
        <v>1796550</v>
      </c>
      <c r="I159" s="138">
        <f t="shared" si="43"/>
        <v>19762050</v>
      </c>
      <c r="J159" s="147"/>
      <c r="K159" s="157"/>
    </row>
    <row r="160" spans="1:11" ht="21" customHeight="1">
      <c r="A160" s="144">
        <v>3</v>
      </c>
      <c r="B160" s="634">
        <v>43005</v>
      </c>
      <c r="C160" s="156" t="s">
        <v>1033</v>
      </c>
      <c r="D160" s="145" t="s">
        <v>218</v>
      </c>
      <c r="E160" s="632">
        <v>3045</v>
      </c>
      <c r="F160" s="138">
        <v>5900</v>
      </c>
      <c r="G160" s="138">
        <f t="shared" si="41"/>
        <v>17965500</v>
      </c>
      <c r="H160" s="138">
        <f t="shared" si="42"/>
        <v>1796550</v>
      </c>
      <c r="I160" s="138">
        <f t="shared" si="43"/>
        <v>19762050</v>
      </c>
      <c r="J160" s="147"/>
      <c r="K160" s="157"/>
    </row>
    <row r="161" spans="1:11" ht="21" customHeight="1">
      <c r="A161" s="144">
        <v>4</v>
      </c>
      <c r="B161" s="634">
        <v>43006</v>
      </c>
      <c r="C161" s="156" t="s">
        <v>1036</v>
      </c>
      <c r="D161" s="145" t="s">
        <v>218</v>
      </c>
      <c r="E161" s="632">
        <v>3045</v>
      </c>
      <c r="F161" s="138">
        <v>5900</v>
      </c>
      <c r="G161" s="138">
        <f t="shared" si="41"/>
        <v>17965500</v>
      </c>
      <c r="H161" s="138">
        <f t="shared" si="42"/>
        <v>1796550</v>
      </c>
      <c r="I161" s="138">
        <f t="shared" si="43"/>
        <v>19762050</v>
      </c>
      <c r="J161" s="147"/>
      <c r="K161" s="157"/>
    </row>
    <row r="162" spans="1:11" ht="21" customHeight="1">
      <c r="A162" s="144">
        <v>5</v>
      </c>
      <c r="B162" s="634">
        <v>43007</v>
      </c>
      <c r="C162" s="156" t="s">
        <v>1035</v>
      </c>
      <c r="D162" s="145" t="s">
        <v>218</v>
      </c>
      <c r="E162" s="632">
        <v>3045</v>
      </c>
      <c r="F162" s="138">
        <v>5900</v>
      </c>
      <c r="G162" s="138">
        <f t="shared" si="41"/>
        <v>17965500</v>
      </c>
      <c r="H162" s="138">
        <f t="shared" si="42"/>
        <v>1796550</v>
      </c>
      <c r="I162" s="138">
        <f t="shared" si="43"/>
        <v>19762050</v>
      </c>
      <c r="J162" s="147"/>
      <c r="K162" s="157"/>
    </row>
    <row r="163" spans="1:11" ht="21" customHeight="1">
      <c r="A163" s="144">
        <v>6</v>
      </c>
      <c r="B163" s="634">
        <v>43009</v>
      </c>
      <c r="C163" s="156" t="s">
        <v>1037</v>
      </c>
      <c r="D163" s="145" t="s">
        <v>218</v>
      </c>
      <c r="E163" s="632">
        <v>3045</v>
      </c>
      <c r="F163" s="138">
        <v>5900</v>
      </c>
      <c r="G163" s="138">
        <f t="shared" si="41"/>
        <v>17965500</v>
      </c>
      <c r="H163" s="138">
        <f t="shared" si="42"/>
        <v>1796550</v>
      </c>
      <c r="I163" s="138">
        <f t="shared" si="43"/>
        <v>19762050</v>
      </c>
      <c r="J163" s="147"/>
      <c r="K163" s="157"/>
    </row>
    <row r="164" spans="1:11" ht="21" customHeight="1">
      <c r="A164" s="144">
        <v>7</v>
      </c>
      <c r="B164" s="634">
        <v>43010</v>
      </c>
      <c r="C164" s="156" t="s">
        <v>1038</v>
      </c>
      <c r="D164" s="145" t="s">
        <v>218</v>
      </c>
      <c r="E164" s="632">
        <v>3045</v>
      </c>
      <c r="F164" s="138">
        <v>5900</v>
      </c>
      <c r="G164" s="138">
        <f t="shared" si="41"/>
        <v>17965500</v>
      </c>
      <c r="H164" s="138">
        <f t="shared" si="42"/>
        <v>1796550</v>
      </c>
      <c r="I164" s="138">
        <f t="shared" si="43"/>
        <v>19762050</v>
      </c>
      <c r="J164" s="147"/>
      <c r="K164" s="157"/>
    </row>
    <row r="165" spans="1:11" ht="21" customHeight="1">
      <c r="A165" s="144">
        <v>8</v>
      </c>
      <c r="B165" s="634">
        <v>43011</v>
      </c>
      <c r="C165" s="156" t="s">
        <v>1040</v>
      </c>
      <c r="D165" s="145" t="s">
        <v>218</v>
      </c>
      <c r="E165" s="632">
        <v>3045</v>
      </c>
      <c r="F165" s="138">
        <v>5900</v>
      </c>
      <c r="G165" s="138">
        <f t="shared" si="41"/>
        <v>17965500</v>
      </c>
      <c r="H165" s="138">
        <f t="shared" si="42"/>
        <v>1796550</v>
      </c>
      <c r="I165" s="138">
        <f t="shared" si="43"/>
        <v>19762050</v>
      </c>
      <c r="J165" s="147"/>
      <c r="K165" s="157"/>
    </row>
    <row r="166" spans="1:11" ht="21" customHeight="1">
      <c r="A166" s="144">
        <v>9</v>
      </c>
      <c r="B166" s="634">
        <v>43012</v>
      </c>
      <c r="C166" s="156" t="s">
        <v>1039</v>
      </c>
      <c r="D166" s="145" t="s">
        <v>218</v>
      </c>
      <c r="E166" s="632">
        <v>3045</v>
      </c>
      <c r="F166" s="138">
        <v>5900</v>
      </c>
      <c r="G166" s="138">
        <f t="shared" si="41"/>
        <v>17965500</v>
      </c>
      <c r="H166" s="138">
        <f t="shared" si="42"/>
        <v>1796550</v>
      </c>
      <c r="I166" s="138">
        <f t="shared" si="43"/>
        <v>19762050</v>
      </c>
      <c r="J166" s="147"/>
      <c r="K166" s="157"/>
    </row>
    <row r="167" spans="1:11" ht="21" customHeight="1">
      <c r="A167" s="368"/>
      <c r="B167" s="369"/>
      <c r="C167" s="369"/>
      <c r="D167" s="369"/>
      <c r="E167" s="370"/>
      <c r="F167" s="370"/>
      <c r="G167" s="370"/>
      <c r="H167" s="370"/>
      <c r="I167" s="370"/>
      <c r="J167" s="369"/>
    </row>
    <row r="168" spans="1:11" s="155" customFormat="1" ht="21" customHeight="1">
      <c r="A168" s="897" t="s">
        <v>19</v>
      </c>
      <c r="B168" s="897"/>
      <c r="C168" s="897"/>
      <c r="D168" s="897"/>
      <c r="E168" s="153">
        <f>SUM(E158:E167)</f>
        <v>27405</v>
      </c>
      <c r="F168" s="153"/>
      <c r="G168" s="153">
        <f>SUM(G158:G167)</f>
        <v>161689500</v>
      </c>
      <c r="H168" s="153">
        <f>SUM(H158:H167)</f>
        <v>16168950</v>
      </c>
      <c r="I168" s="153"/>
      <c r="J168" s="154"/>
    </row>
    <row r="170" spans="1:11" s="141" customFormat="1" ht="14.25">
      <c r="A170" s="635"/>
      <c r="D170" s="575" t="s">
        <v>908</v>
      </c>
      <c r="E170" s="575">
        <f>E168/2030</f>
        <v>13.5</v>
      </c>
    </row>
    <row r="174" spans="1:11" s="141" customFormat="1" ht="23.25" customHeight="1">
      <c r="A174" s="896" t="s">
        <v>1151</v>
      </c>
      <c r="B174" s="896"/>
      <c r="C174" s="896"/>
      <c r="D174" s="896"/>
      <c r="E174" s="896"/>
      <c r="F174" s="896"/>
      <c r="G174" s="896"/>
      <c r="H174" s="896"/>
      <c r="I174" s="896"/>
      <c r="J174" s="896"/>
    </row>
    <row r="175" spans="1:11" s="143" customFormat="1" ht="33.75" customHeight="1">
      <c r="A175" s="666" t="s">
        <v>0</v>
      </c>
      <c r="B175" s="666" t="s">
        <v>205</v>
      </c>
      <c r="C175" s="666" t="s">
        <v>206</v>
      </c>
      <c r="D175" s="666" t="s">
        <v>207</v>
      </c>
      <c r="E175" s="666" t="s">
        <v>7</v>
      </c>
      <c r="F175" s="666" t="s">
        <v>8</v>
      </c>
      <c r="G175" s="666" t="s">
        <v>9</v>
      </c>
      <c r="H175" s="666" t="s">
        <v>208</v>
      </c>
      <c r="I175" s="666" t="s">
        <v>465</v>
      </c>
      <c r="J175" s="666" t="s">
        <v>82</v>
      </c>
    </row>
    <row r="176" spans="1:11" ht="19.5" customHeight="1">
      <c r="A176" s="144">
        <v>1</v>
      </c>
      <c r="B176" s="667">
        <v>43014</v>
      </c>
      <c r="C176" s="156" t="s">
        <v>1138</v>
      </c>
      <c r="D176" s="145" t="s">
        <v>218</v>
      </c>
      <c r="E176" s="664">
        <v>3045</v>
      </c>
      <c r="F176" s="138">
        <v>5900</v>
      </c>
      <c r="G176" s="138">
        <f t="shared" ref="G176:G180" si="44">E176*F176</f>
        <v>17965500</v>
      </c>
      <c r="H176" s="138">
        <f t="shared" ref="H176:H180" si="45">G176*10%</f>
        <v>1796550</v>
      </c>
      <c r="I176" s="138">
        <f t="shared" ref="I176:I180" si="46">G176+H176</f>
        <v>19762050</v>
      </c>
      <c r="J176" s="147"/>
      <c r="K176" s="157"/>
    </row>
    <row r="177" spans="1:11" ht="19.5" customHeight="1">
      <c r="A177" s="144">
        <v>2</v>
      </c>
      <c r="B177" s="667">
        <v>43023</v>
      </c>
      <c r="C177" s="156" t="s">
        <v>1141</v>
      </c>
      <c r="D177" s="145" t="s">
        <v>218</v>
      </c>
      <c r="E177" s="664">
        <v>3045</v>
      </c>
      <c r="F177" s="138">
        <v>5900</v>
      </c>
      <c r="G177" s="138">
        <f t="shared" si="44"/>
        <v>17965500</v>
      </c>
      <c r="H177" s="138">
        <f t="shared" si="45"/>
        <v>1796550</v>
      </c>
      <c r="I177" s="138">
        <f t="shared" si="46"/>
        <v>19762050</v>
      </c>
      <c r="J177" s="147"/>
      <c r="K177" s="157"/>
    </row>
    <row r="178" spans="1:11" ht="19.5" customHeight="1">
      <c r="A178" s="144">
        <v>3</v>
      </c>
      <c r="B178" s="667">
        <v>43024</v>
      </c>
      <c r="C178" s="156" t="s">
        <v>1142</v>
      </c>
      <c r="D178" s="145" t="s">
        <v>218</v>
      </c>
      <c r="E178" s="664">
        <v>3045</v>
      </c>
      <c r="F178" s="138">
        <v>5900</v>
      </c>
      <c r="G178" s="138">
        <f t="shared" si="44"/>
        <v>17965500</v>
      </c>
      <c r="H178" s="138">
        <f t="shared" si="45"/>
        <v>1796550</v>
      </c>
      <c r="I178" s="138">
        <f t="shared" si="46"/>
        <v>19762050</v>
      </c>
      <c r="J178" s="147"/>
      <c r="K178" s="157"/>
    </row>
    <row r="179" spans="1:11" ht="19.5" customHeight="1">
      <c r="A179" s="144">
        <v>4</v>
      </c>
      <c r="B179" s="667">
        <v>43028</v>
      </c>
      <c r="C179" s="156" t="s">
        <v>1144</v>
      </c>
      <c r="D179" s="145" t="s">
        <v>218</v>
      </c>
      <c r="E179" s="664">
        <v>3045</v>
      </c>
      <c r="F179" s="138">
        <v>5900</v>
      </c>
      <c r="G179" s="138">
        <f t="shared" si="44"/>
        <v>17965500</v>
      </c>
      <c r="H179" s="138">
        <f t="shared" si="45"/>
        <v>1796550</v>
      </c>
      <c r="I179" s="138">
        <f t="shared" si="46"/>
        <v>19762050</v>
      </c>
      <c r="J179" s="147"/>
      <c r="K179" s="157"/>
    </row>
    <row r="180" spans="1:11" ht="19.5" customHeight="1">
      <c r="A180" s="144">
        <v>5</v>
      </c>
      <c r="B180" s="667">
        <v>43032</v>
      </c>
      <c r="C180" s="156" t="s">
        <v>1146</v>
      </c>
      <c r="D180" s="145" t="s">
        <v>218</v>
      </c>
      <c r="E180" s="664">
        <v>3045</v>
      </c>
      <c r="F180" s="138">
        <v>5900</v>
      </c>
      <c r="G180" s="138">
        <f t="shared" si="44"/>
        <v>17965500</v>
      </c>
      <c r="H180" s="138">
        <f t="shared" si="45"/>
        <v>1796550</v>
      </c>
      <c r="I180" s="138">
        <f t="shared" si="46"/>
        <v>19762050</v>
      </c>
      <c r="J180" s="147"/>
      <c r="K180" s="157"/>
    </row>
    <row r="181" spans="1:11" ht="19.5" customHeight="1">
      <c r="A181" s="144">
        <v>6</v>
      </c>
      <c r="B181" s="668">
        <v>43037</v>
      </c>
      <c r="C181" s="373" t="s">
        <v>1148</v>
      </c>
      <c r="D181" s="145" t="s">
        <v>218</v>
      </c>
      <c r="E181" s="664">
        <v>3045</v>
      </c>
      <c r="F181" s="138">
        <v>5900</v>
      </c>
      <c r="G181" s="138">
        <f t="shared" ref="G181" si="47">E181*F181</f>
        <v>17965500</v>
      </c>
      <c r="H181" s="138">
        <f t="shared" ref="H181" si="48">G181*10%</f>
        <v>1796550</v>
      </c>
      <c r="I181" s="138">
        <f t="shared" ref="I181" si="49">G181+H181</f>
        <v>19762050</v>
      </c>
      <c r="J181" s="149"/>
      <c r="K181" s="157"/>
    </row>
    <row r="182" spans="1:11" ht="9" customHeight="1">
      <c r="A182" s="368"/>
      <c r="B182" s="369"/>
      <c r="C182" s="369"/>
      <c r="D182" s="369"/>
      <c r="E182" s="370"/>
      <c r="F182" s="370"/>
      <c r="G182" s="370"/>
      <c r="H182" s="370"/>
      <c r="I182" s="370"/>
      <c r="J182" s="369"/>
    </row>
    <row r="183" spans="1:11" s="155" customFormat="1" ht="19.5" customHeight="1">
      <c r="A183" s="897" t="s">
        <v>19</v>
      </c>
      <c r="B183" s="897"/>
      <c r="C183" s="897"/>
      <c r="D183" s="897"/>
      <c r="E183" s="153">
        <f>SUM(E176:E182)</f>
        <v>18270</v>
      </c>
      <c r="F183" s="153"/>
      <c r="G183" s="153">
        <f>SUM(G176:G182)</f>
        <v>107793000</v>
      </c>
      <c r="H183" s="153">
        <f>SUM(H176:H182)</f>
        <v>10779300</v>
      </c>
      <c r="I183" s="153"/>
      <c r="J183" s="154"/>
    </row>
    <row r="184" spans="1:11" ht="3.75" customHeight="1"/>
    <row r="185" spans="1:11" s="141" customFormat="1" ht="14.25">
      <c r="A185" s="665"/>
      <c r="D185" s="575" t="s">
        <v>908</v>
      </c>
      <c r="E185" s="575">
        <f>E183/2030</f>
        <v>9</v>
      </c>
    </row>
    <row r="186" spans="1:11" ht="6.75" customHeight="1"/>
    <row r="187" spans="1:11" s="141" customFormat="1" ht="24" customHeight="1">
      <c r="A187" s="896" t="s">
        <v>1149</v>
      </c>
      <c r="B187" s="896"/>
      <c r="C187" s="896"/>
      <c r="D187" s="896"/>
      <c r="E187" s="896"/>
      <c r="F187" s="896"/>
      <c r="G187" s="896"/>
      <c r="H187" s="896"/>
      <c r="I187" s="896"/>
      <c r="J187" s="896"/>
    </row>
    <row r="188" spans="1:11" s="143" customFormat="1" ht="33.75" customHeight="1">
      <c r="A188" s="666" t="s">
        <v>0</v>
      </c>
      <c r="B188" s="666" t="s">
        <v>205</v>
      </c>
      <c r="C188" s="666" t="s">
        <v>206</v>
      </c>
      <c r="D188" s="666" t="s">
        <v>207</v>
      </c>
      <c r="E188" s="666" t="s">
        <v>7</v>
      </c>
      <c r="F188" s="666" t="s">
        <v>8</v>
      </c>
      <c r="G188" s="666" t="s">
        <v>9</v>
      </c>
      <c r="H188" s="666" t="s">
        <v>208</v>
      </c>
      <c r="I188" s="666" t="s">
        <v>465</v>
      </c>
      <c r="J188" s="666" t="s">
        <v>82</v>
      </c>
    </row>
    <row r="189" spans="1:11" ht="19.5" customHeight="1">
      <c r="A189" s="144">
        <v>1</v>
      </c>
      <c r="B189" s="667">
        <v>43021</v>
      </c>
      <c r="C189" s="156" t="s">
        <v>1139</v>
      </c>
      <c r="D189" s="145" t="s">
        <v>218</v>
      </c>
      <c r="E189" s="664">
        <v>3045</v>
      </c>
      <c r="F189" s="138">
        <v>5900</v>
      </c>
      <c r="G189" s="138">
        <f t="shared" ref="G189:G192" si="50">E189*F189</f>
        <v>17965500</v>
      </c>
      <c r="H189" s="138">
        <f t="shared" ref="H189:H192" si="51">G189*10%</f>
        <v>1796550</v>
      </c>
      <c r="I189" s="138">
        <f t="shared" ref="I189:I192" si="52">G189+H189</f>
        <v>19762050</v>
      </c>
      <c r="J189" s="147" t="s">
        <v>1140</v>
      </c>
      <c r="K189" s="157"/>
    </row>
    <row r="190" spans="1:11" ht="19.5" customHeight="1">
      <c r="A190" s="144">
        <v>2</v>
      </c>
      <c r="B190" s="667">
        <v>43026</v>
      </c>
      <c r="C190" s="156" t="s">
        <v>1143</v>
      </c>
      <c r="D190" s="145" t="s">
        <v>218</v>
      </c>
      <c r="E190" s="664">
        <v>3045</v>
      </c>
      <c r="F190" s="138">
        <v>5900</v>
      </c>
      <c r="G190" s="138">
        <f t="shared" si="50"/>
        <v>17965500</v>
      </c>
      <c r="H190" s="138">
        <f t="shared" si="51"/>
        <v>1796550</v>
      </c>
      <c r="I190" s="138">
        <f t="shared" si="52"/>
        <v>19762050</v>
      </c>
      <c r="J190" s="147" t="s">
        <v>1140</v>
      </c>
      <c r="K190" s="157"/>
    </row>
    <row r="191" spans="1:11" ht="19.5" customHeight="1">
      <c r="A191" s="144">
        <v>3</v>
      </c>
      <c r="B191" s="667">
        <v>43030</v>
      </c>
      <c r="C191" s="156" t="s">
        <v>1145</v>
      </c>
      <c r="D191" s="145" t="s">
        <v>218</v>
      </c>
      <c r="E191" s="664">
        <v>3045</v>
      </c>
      <c r="F191" s="138">
        <v>5900</v>
      </c>
      <c r="G191" s="138">
        <f t="shared" si="50"/>
        <v>17965500</v>
      </c>
      <c r="H191" s="138">
        <f t="shared" si="51"/>
        <v>1796550</v>
      </c>
      <c r="I191" s="138">
        <f t="shared" si="52"/>
        <v>19762050</v>
      </c>
      <c r="J191" s="147" t="s">
        <v>1140</v>
      </c>
      <c r="K191" s="157"/>
    </row>
    <row r="192" spans="1:11" ht="19.5" customHeight="1">
      <c r="A192" s="144">
        <v>4</v>
      </c>
      <c r="B192" s="667">
        <v>43035</v>
      </c>
      <c r="C192" s="156" t="s">
        <v>1147</v>
      </c>
      <c r="D192" s="145" t="s">
        <v>218</v>
      </c>
      <c r="E192" s="664">
        <v>3045</v>
      </c>
      <c r="F192" s="138">
        <v>5900</v>
      </c>
      <c r="G192" s="138">
        <f t="shared" si="50"/>
        <v>17965500</v>
      </c>
      <c r="H192" s="138">
        <f t="shared" si="51"/>
        <v>1796550</v>
      </c>
      <c r="I192" s="138">
        <f t="shared" si="52"/>
        <v>19762050</v>
      </c>
      <c r="J192" s="147" t="s">
        <v>1140</v>
      </c>
      <c r="K192" s="157"/>
    </row>
    <row r="193" spans="1:10" ht="10.5" customHeight="1">
      <c r="A193" s="368"/>
      <c r="B193" s="369"/>
      <c r="C193" s="369"/>
      <c r="D193" s="369"/>
      <c r="E193" s="370"/>
      <c r="F193" s="370"/>
      <c r="G193" s="370"/>
      <c r="H193" s="370"/>
      <c r="I193" s="370"/>
      <c r="J193" s="369"/>
    </row>
    <row r="194" spans="1:10" s="155" customFormat="1" ht="21" customHeight="1">
      <c r="A194" s="897" t="s">
        <v>19</v>
      </c>
      <c r="B194" s="897"/>
      <c r="C194" s="897"/>
      <c r="D194" s="897"/>
      <c r="E194" s="153">
        <f>SUM(E189:E193)</f>
        <v>12180</v>
      </c>
      <c r="F194" s="153"/>
      <c r="G194" s="153">
        <f>SUM(G189:G193)</f>
        <v>71862000</v>
      </c>
      <c r="H194" s="153">
        <f>SUM(H189:H193)</f>
        <v>7186200</v>
      </c>
      <c r="I194" s="153"/>
      <c r="J194" s="154"/>
    </row>
    <row r="195" spans="1:10" ht="6" customHeight="1"/>
    <row r="196" spans="1:10" s="141" customFormat="1" ht="14.25">
      <c r="A196" s="665"/>
      <c r="D196" s="575" t="s">
        <v>908</v>
      </c>
      <c r="E196" s="575">
        <f>E194/2030</f>
        <v>6</v>
      </c>
    </row>
    <row r="197" spans="1:10" ht="7.5" customHeight="1"/>
    <row r="198" spans="1:10" s="141" customFormat="1" ht="19.5" customHeight="1">
      <c r="A198" s="665"/>
      <c r="E198" s="141" t="s">
        <v>1150</v>
      </c>
      <c r="H198" s="674">
        <f>H194+H183</f>
        <v>17965500</v>
      </c>
    </row>
  </sheetData>
  <sortState ref="A158:K171">
    <sortCondition ref="B158:B171"/>
  </sortState>
  <mergeCells count="18">
    <mergeCell ref="A174:J174"/>
    <mergeCell ref="A183:D183"/>
    <mergeCell ref="A187:J187"/>
    <mergeCell ref="A194:D194"/>
    <mergeCell ref="A156:J156"/>
    <mergeCell ref="A168:D168"/>
    <mergeCell ref="A87:D87"/>
    <mergeCell ref="A2:J2"/>
    <mergeCell ref="A28:D28"/>
    <mergeCell ref="A35:J35"/>
    <mergeCell ref="A58:D58"/>
    <mergeCell ref="A67:J67"/>
    <mergeCell ref="A118:J118"/>
    <mergeCell ref="A135:D135"/>
    <mergeCell ref="A139:J139"/>
    <mergeCell ref="A151:D151"/>
    <mergeCell ref="A97:J97"/>
    <mergeCell ref="A111:D111"/>
  </mergeCells>
  <pageMargins left="0.16" right="0.13" top="0.16" bottom="0.16" header="0.3" footer="0.3"/>
  <pageSetup scale="9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36"/>
  <sheetViews>
    <sheetView zoomScale="90" zoomScaleNormal="90" workbookViewId="0">
      <selection activeCell="E29" sqref="E29"/>
    </sheetView>
  </sheetViews>
  <sheetFormatPr defaultRowHeight="12.75"/>
  <cols>
    <col min="1" max="1" width="5.5703125" customWidth="1"/>
    <col min="2" max="2" width="39" customWidth="1"/>
    <col min="3" max="3" width="12.5703125" customWidth="1"/>
    <col min="4" max="4" width="13.85546875" customWidth="1"/>
    <col min="5" max="5" width="16.28515625" customWidth="1"/>
    <col min="6" max="6" width="2" customWidth="1"/>
    <col min="7" max="7" width="6.85546875" customWidth="1"/>
    <col min="8" max="8" width="29.140625" customWidth="1"/>
    <col min="9" max="9" width="14.42578125" customWidth="1"/>
    <col min="10" max="10" width="12.5703125" customWidth="1"/>
    <col min="11" max="11" width="18" customWidth="1"/>
    <col min="12" max="12" width="11.140625" customWidth="1"/>
    <col min="13" max="13" width="13.28515625" customWidth="1"/>
  </cols>
  <sheetData>
    <row r="1" spans="1:13" s="567" customFormat="1" ht="30" customHeight="1">
      <c r="B1" s="568" t="s">
        <v>903</v>
      </c>
    </row>
    <row r="2" spans="1:13" s="5" customFormat="1" ht="16.5">
      <c r="C2" s="99"/>
      <c r="D2" s="7"/>
      <c r="E2" s="103"/>
      <c r="G2" s="5" t="s">
        <v>677</v>
      </c>
      <c r="I2" s="99"/>
      <c r="J2" s="7"/>
      <c r="K2" s="103"/>
      <c r="L2" s="3"/>
      <c r="M2" s="3"/>
    </row>
    <row r="3" spans="1:13" s="5" customFormat="1" ht="33">
      <c r="A3" s="83" t="s">
        <v>0</v>
      </c>
      <c r="B3" s="83" t="s">
        <v>21</v>
      </c>
      <c r="C3" s="95" t="s">
        <v>7</v>
      </c>
      <c r="D3" s="84" t="s">
        <v>8</v>
      </c>
      <c r="E3" s="49" t="s">
        <v>9</v>
      </c>
      <c r="G3" s="83" t="s">
        <v>0</v>
      </c>
      <c r="H3" s="83" t="s">
        <v>21</v>
      </c>
      <c r="I3" s="95" t="s">
        <v>7</v>
      </c>
      <c r="J3" s="84" t="s">
        <v>8</v>
      </c>
      <c r="K3" s="49" t="s">
        <v>9</v>
      </c>
      <c r="L3" s="3"/>
      <c r="M3" s="3"/>
    </row>
    <row r="4" spans="1:13" s="5" customFormat="1" ht="16.5">
      <c r="A4" s="60">
        <v>1</v>
      </c>
      <c r="B4" s="51" t="s">
        <v>35</v>
      </c>
      <c r="C4" s="96">
        <f>52780/2</f>
        <v>26390</v>
      </c>
      <c r="D4" s="53">
        <v>300</v>
      </c>
      <c r="E4" s="101">
        <f t="shared" ref="E4:E7" si="0">C4*D4</f>
        <v>7917000</v>
      </c>
      <c r="G4" s="60">
        <v>1</v>
      </c>
      <c r="H4" s="51" t="s">
        <v>35</v>
      </c>
      <c r="I4" s="96">
        <v>26390</v>
      </c>
      <c r="J4" s="53">
        <v>300</v>
      </c>
      <c r="K4" s="101">
        <f t="shared" ref="K4:K7" si="1">I4*J4</f>
        <v>7917000</v>
      </c>
      <c r="L4" s="3"/>
      <c r="M4" s="3"/>
    </row>
    <row r="5" spans="1:13" s="5" customFormat="1" ht="16.5">
      <c r="A5" s="60">
        <v>2</v>
      </c>
      <c r="B5" s="61" t="s">
        <v>37</v>
      </c>
      <c r="C5" s="97">
        <v>1</v>
      </c>
      <c r="D5" s="63">
        <v>2000000</v>
      </c>
      <c r="E5" s="102">
        <f t="shared" si="0"/>
        <v>2000000</v>
      </c>
      <c r="G5" s="60">
        <v>2</v>
      </c>
      <c r="H5" s="61" t="s">
        <v>37</v>
      </c>
      <c r="I5" s="97">
        <v>1</v>
      </c>
      <c r="J5" s="63">
        <v>2000000</v>
      </c>
      <c r="K5" s="102">
        <f t="shared" si="1"/>
        <v>2000000</v>
      </c>
      <c r="L5" s="3"/>
      <c r="M5" s="3"/>
    </row>
    <row r="6" spans="1:13" s="5" customFormat="1" ht="16.5">
      <c r="A6" s="60">
        <v>3</v>
      </c>
      <c r="B6" s="61" t="s">
        <v>38</v>
      </c>
      <c r="C6" s="97">
        <v>1</v>
      </c>
      <c r="D6" s="63">
        <v>2000000</v>
      </c>
      <c r="E6" s="102">
        <f t="shared" si="0"/>
        <v>2000000</v>
      </c>
      <c r="G6" s="60">
        <v>3</v>
      </c>
      <c r="H6" s="61" t="s">
        <v>38</v>
      </c>
      <c r="I6" s="97">
        <v>1</v>
      </c>
      <c r="J6" s="63">
        <v>2000000</v>
      </c>
      <c r="K6" s="102">
        <f t="shared" si="1"/>
        <v>2000000</v>
      </c>
      <c r="L6" s="3"/>
      <c r="M6" s="3"/>
    </row>
    <row r="7" spans="1:13" s="5" customFormat="1" ht="16.5">
      <c r="A7" s="60">
        <v>4</v>
      </c>
      <c r="B7" s="61" t="s">
        <v>39</v>
      </c>
      <c r="C7" s="97">
        <v>1</v>
      </c>
      <c r="D7" s="63">
        <v>600000</v>
      </c>
      <c r="E7" s="102">
        <f t="shared" si="0"/>
        <v>600000</v>
      </c>
      <c r="G7" s="60">
        <v>4</v>
      </c>
      <c r="H7" s="61" t="s">
        <v>39</v>
      </c>
      <c r="I7" s="97">
        <v>1</v>
      </c>
      <c r="J7" s="63">
        <v>600000</v>
      </c>
      <c r="K7" s="102">
        <f t="shared" si="1"/>
        <v>600000</v>
      </c>
      <c r="L7" s="3"/>
      <c r="M7" s="3"/>
    </row>
    <row r="8" spans="1:13" s="5" customFormat="1" ht="16.5">
      <c r="A8" s="60">
        <v>5</v>
      </c>
      <c r="B8" s="61" t="s">
        <v>75</v>
      </c>
      <c r="C8" s="97">
        <v>1</v>
      </c>
      <c r="D8" s="63">
        <v>16725000</v>
      </c>
      <c r="E8" s="102">
        <f>C8*D8</f>
        <v>16725000</v>
      </c>
      <c r="G8" s="60">
        <v>5</v>
      </c>
      <c r="H8" s="61" t="s">
        <v>907</v>
      </c>
      <c r="I8" s="97">
        <v>1</v>
      </c>
      <c r="J8" s="63">
        <v>13659000</v>
      </c>
      <c r="K8" s="102">
        <f>I8*J8</f>
        <v>13659000</v>
      </c>
      <c r="L8" s="3"/>
      <c r="M8" s="3"/>
    </row>
    <row r="9" spans="1:13" s="5" customFormat="1" ht="16.5">
      <c r="A9" s="60">
        <v>6</v>
      </c>
      <c r="B9" s="61" t="s">
        <v>41</v>
      </c>
      <c r="C9" s="97">
        <v>1</v>
      </c>
      <c r="D9" s="63">
        <v>9358000</v>
      </c>
      <c r="E9" s="102">
        <f t="shared" ref="E9:E10" si="2">C9*D9</f>
        <v>9358000</v>
      </c>
      <c r="G9" s="60">
        <v>6</v>
      </c>
      <c r="H9" s="61" t="s">
        <v>41</v>
      </c>
      <c r="I9" s="97">
        <v>1</v>
      </c>
      <c r="J9" s="63">
        <v>6213480</v>
      </c>
      <c r="K9" s="102">
        <f t="shared" ref="K9:K10" si="3">I9*J9</f>
        <v>6213480</v>
      </c>
      <c r="L9" s="3"/>
      <c r="M9" s="3"/>
    </row>
    <row r="10" spans="1:13" s="5" customFormat="1" ht="16.5">
      <c r="A10" s="60">
        <v>7</v>
      </c>
      <c r="B10" s="61" t="s">
        <v>42</v>
      </c>
      <c r="C10" s="97">
        <v>1</v>
      </c>
      <c r="D10" s="63">
        <v>5600000</v>
      </c>
      <c r="E10" s="102">
        <f t="shared" si="2"/>
        <v>5600000</v>
      </c>
      <c r="G10" s="60">
        <v>7</v>
      </c>
      <c r="H10" s="61" t="s">
        <v>42</v>
      </c>
      <c r="I10" s="97">
        <v>1</v>
      </c>
      <c r="J10" s="63">
        <v>4610000</v>
      </c>
      <c r="K10" s="102">
        <f t="shared" si="3"/>
        <v>4610000</v>
      </c>
      <c r="L10" s="3"/>
      <c r="M10" s="3"/>
    </row>
    <row r="11" spans="1:13" s="5" customFormat="1" ht="16.5">
      <c r="A11" s="60">
        <v>8</v>
      </c>
      <c r="B11" s="61" t="s">
        <v>44</v>
      </c>
      <c r="C11" s="97">
        <v>1</v>
      </c>
      <c r="D11" s="63">
        <v>1350000</v>
      </c>
      <c r="E11" s="102">
        <f>C11*D11</f>
        <v>1350000</v>
      </c>
      <c r="G11" s="60">
        <v>8</v>
      </c>
      <c r="H11" s="61" t="s">
        <v>44</v>
      </c>
      <c r="I11" s="97">
        <v>1</v>
      </c>
      <c r="J11" s="63">
        <v>1056000</v>
      </c>
      <c r="K11" s="102">
        <f>I11*J11</f>
        <v>1056000</v>
      </c>
      <c r="L11" s="3"/>
      <c r="M11" s="3"/>
    </row>
    <row r="12" spans="1:13" s="5" customFormat="1" ht="16.5">
      <c r="A12" s="60">
        <v>9</v>
      </c>
      <c r="B12" s="61" t="s">
        <v>79</v>
      </c>
      <c r="C12" s="97">
        <v>1</v>
      </c>
      <c r="D12" s="63">
        <v>2500000</v>
      </c>
      <c r="E12" s="102">
        <f t="shared" ref="E12" si="4">C12*D12</f>
        <v>2500000</v>
      </c>
      <c r="G12" s="60">
        <v>9</v>
      </c>
      <c r="H12" s="61" t="s">
        <v>79</v>
      </c>
      <c r="I12" s="97">
        <v>1</v>
      </c>
      <c r="J12" s="63">
        <v>2500000</v>
      </c>
      <c r="K12" s="102">
        <f t="shared" ref="K12" si="5">I12*J12</f>
        <v>2500000</v>
      </c>
      <c r="L12" s="3"/>
      <c r="M12" s="3"/>
    </row>
    <row r="13" spans="1:13" s="5" customFormat="1" ht="16.5">
      <c r="A13" s="60">
        <v>10</v>
      </c>
      <c r="B13" s="61" t="s">
        <v>45</v>
      </c>
      <c r="C13" s="97">
        <v>26</v>
      </c>
      <c r="D13" s="63">
        <v>50000</v>
      </c>
      <c r="E13" s="102">
        <f>C13*D13</f>
        <v>1300000</v>
      </c>
      <c r="G13" s="60">
        <v>10</v>
      </c>
      <c r="H13" s="61" t="s">
        <v>45</v>
      </c>
      <c r="I13" s="97">
        <v>26</v>
      </c>
      <c r="J13" s="63">
        <v>50000</v>
      </c>
      <c r="K13" s="102">
        <f>I13*J13</f>
        <v>1300000</v>
      </c>
      <c r="L13" s="3"/>
      <c r="M13" s="3"/>
    </row>
    <row r="14" spans="1:13" s="5" customFormat="1" ht="16.5">
      <c r="A14" s="60">
        <v>11</v>
      </c>
      <c r="B14" s="61"/>
      <c r="C14" s="97"/>
      <c r="D14" s="63"/>
      <c r="E14" s="102">
        <v>3700000</v>
      </c>
      <c r="G14" s="60">
        <v>11</v>
      </c>
      <c r="H14" s="61" t="s">
        <v>46</v>
      </c>
      <c r="I14" s="97"/>
      <c r="J14" s="63"/>
      <c r="K14" s="102">
        <f>T16</f>
        <v>0</v>
      </c>
      <c r="L14" s="3"/>
      <c r="M14" s="3"/>
    </row>
    <row r="15" spans="1:13" s="5" customFormat="1" ht="16.5">
      <c r="A15" s="60"/>
      <c r="B15" s="61"/>
      <c r="C15" s="97"/>
      <c r="D15" s="63"/>
      <c r="E15" s="102"/>
      <c r="G15" s="60"/>
      <c r="H15" s="61"/>
      <c r="I15" s="97"/>
      <c r="J15" s="63"/>
      <c r="K15" s="102"/>
      <c r="L15" s="3"/>
      <c r="M15" s="3"/>
    </row>
    <row r="16" spans="1:13" s="5" customFormat="1" ht="16.5">
      <c r="A16" s="70"/>
      <c r="B16" s="70" t="s">
        <v>48</v>
      </c>
      <c r="C16" s="98"/>
      <c r="D16" s="72"/>
      <c r="E16" s="74">
        <f>SUM(E4:E15)</f>
        <v>53050000</v>
      </c>
      <c r="G16" s="70"/>
      <c r="H16" s="70" t="s">
        <v>48</v>
      </c>
      <c r="I16" s="98"/>
      <c r="J16" s="74">
        <f>SUM(J4:J15)</f>
        <v>32688780</v>
      </c>
      <c r="K16" s="74">
        <f>SUM(K4:K15)</f>
        <v>41855480</v>
      </c>
      <c r="L16" s="3"/>
      <c r="M16" s="3"/>
    </row>
    <row r="17" spans="1:13" s="5" customFormat="1" ht="16.5">
      <c r="C17" s="99"/>
      <c r="D17" s="7"/>
      <c r="E17" s="103"/>
      <c r="G17" s="3"/>
      <c r="H17" s="3"/>
      <c r="I17" s="3"/>
      <c r="J17" s="3"/>
      <c r="K17" s="3"/>
      <c r="L17" s="3"/>
      <c r="M17" s="3"/>
    </row>
    <row r="18" spans="1:13" s="567" customFormat="1" ht="30" customHeight="1">
      <c r="B18" s="568" t="s">
        <v>904</v>
      </c>
    </row>
    <row r="19" spans="1:13" s="5" customFormat="1" ht="16.5">
      <c r="C19" s="99"/>
      <c r="D19" s="7"/>
      <c r="E19" s="103"/>
      <c r="G19" s="3"/>
      <c r="H19" s="3"/>
      <c r="I19" s="3"/>
      <c r="J19" s="3"/>
      <c r="K19" s="3"/>
      <c r="L19" s="3"/>
      <c r="M19" s="3"/>
    </row>
    <row r="20" spans="1:13" s="5" customFormat="1" ht="16.5">
      <c r="C20" s="99"/>
      <c r="D20" s="7"/>
      <c r="E20" s="103"/>
      <c r="G20" s="5" t="s">
        <v>677</v>
      </c>
      <c r="I20" s="99"/>
      <c r="J20" s="7"/>
      <c r="K20" s="103"/>
      <c r="L20" s="3"/>
      <c r="M20" s="3"/>
    </row>
    <row r="21" spans="1:13" s="5" customFormat="1" ht="33">
      <c r="A21" s="83" t="s">
        <v>0</v>
      </c>
      <c r="B21" s="83" t="s">
        <v>21</v>
      </c>
      <c r="C21" s="95" t="s">
        <v>7</v>
      </c>
      <c r="D21" s="84" t="s">
        <v>8</v>
      </c>
      <c r="E21" s="49" t="s">
        <v>9</v>
      </c>
      <c r="G21" s="83" t="s">
        <v>0</v>
      </c>
      <c r="H21" s="83" t="s">
        <v>21</v>
      </c>
      <c r="I21" s="95" t="s">
        <v>7</v>
      </c>
      <c r="J21" s="84" t="s">
        <v>8</v>
      </c>
      <c r="K21" s="49" t="s">
        <v>9</v>
      </c>
      <c r="L21" s="3"/>
      <c r="M21" s="3"/>
    </row>
    <row r="22" spans="1:13" s="5" customFormat="1" ht="16.5">
      <c r="A22" s="60">
        <v>1</v>
      </c>
      <c r="B22" s="51" t="s">
        <v>35</v>
      </c>
      <c r="C22" s="96">
        <v>26390</v>
      </c>
      <c r="D22" s="53">
        <v>300</v>
      </c>
      <c r="E22" s="101">
        <f t="shared" ref="E22:E25" si="6">C22*D22</f>
        <v>7917000</v>
      </c>
      <c r="G22" s="60">
        <v>1</v>
      </c>
      <c r="H22" s="51" t="s">
        <v>35</v>
      </c>
      <c r="I22" s="96">
        <v>26390</v>
      </c>
      <c r="J22" s="53">
        <v>300</v>
      </c>
      <c r="K22" s="101">
        <f t="shared" ref="K22:K25" si="7">I22*J22</f>
        <v>7917000</v>
      </c>
      <c r="L22" s="3"/>
      <c r="M22" s="3"/>
    </row>
    <row r="23" spans="1:13" s="5" customFormat="1" ht="16.5">
      <c r="A23" s="60">
        <v>2</v>
      </c>
      <c r="B23" s="61" t="s">
        <v>37</v>
      </c>
      <c r="C23" s="97">
        <v>1</v>
      </c>
      <c r="D23" s="63">
        <v>2000000</v>
      </c>
      <c r="E23" s="102">
        <f t="shared" si="6"/>
        <v>2000000</v>
      </c>
      <c r="G23" s="60">
        <v>2</v>
      </c>
      <c r="H23" s="61" t="s">
        <v>37</v>
      </c>
      <c r="I23" s="97">
        <v>1</v>
      </c>
      <c r="J23" s="63">
        <v>2000000</v>
      </c>
      <c r="K23" s="102">
        <f t="shared" si="7"/>
        <v>2000000</v>
      </c>
      <c r="L23" s="3"/>
      <c r="M23" s="3"/>
    </row>
    <row r="24" spans="1:13" s="5" customFormat="1" ht="16.5">
      <c r="A24" s="60">
        <v>3</v>
      </c>
      <c r="B24" s="61" t="s">
        <v>38</v>
      </c>
      <c r="C24" s="97">
        <v>1</v>
      </c>
      <c r="D24" s="63">
        <v>2000000</v>
      </c>
      <c r="E24" s="102">
        <f t="shared" si="6"/>
        <v>2000000</v>
      </c>
      <c r="G24" s="60">
        <v>3</v>
      </c>
      <c r="H24" s="61" t="s">
        <v>38</v>
      </c>
      <c r="I24" s="97">
        <v>1</v>
      </c>
      <c r="J24" s="63">
        <v>2000000</v>
      </c>
      <c r="K24" s="102">
        <f t="shared" si="7"/>
        <v>2000000</v>
      </c>
      <c r="L24" s="3"/>
      <c r="M24" s="3"/>
    </row>
    <row r="25" spans="1:13" s="5" customFormat="1" ht="16.5">
      <c r="A25" s="60">
        <v>4</v>
      </c>
      <c r="B25" s="61" t="s">
        <v>39</v>
      </c>
      <c r="C25" s="97">
        <v>1</v>
      </c>
      <c r="D25" s="63">
        <v>600000</v>
      </c>
      <c r="E25" s="102">
        <f t="shared" si="6"/>
        <v>600000</v>
      </c>
      <c r="G25" s="60">
        <v>4</v>
      </c>
      <c r="H25" s="61" t="s">
        <v>39</v>
      </c>
      <c r="I25" s="97">
        <v>1</v>
      </c>
      <c r="J25" s="63">
        <v>600000</v>
      </c>
      <c r="K25" s="102">
        <f t="shared" si="7"/>
        <v>600000</v>
      </c>
      <c r="L25" s="3"/>
      <c r="M25" s="3"/>
    </row>
    <row r="26" spans="1:13" s="5" customFormat="1" ht="16.5">
      <c r="A26" s="60">
        <v>5</v>
      </c>
      <c r="B26" s="61" t="s">
        <v>905</v>
      </c>
      <c r="C26" s="97">
        <v>1</v>
      </c>
      <c r="D26" s="63">
        <f>1600*22700</f>
        <v>36320000</v>
      </c>
      <c r="E26" s="102">
        <f>C26*D26</f>
        <v>36320000</v>
      </c>
      <c r="G26" s="60">
        <v>5</v>
      </c>
      <c r="H26" s="61" t="s">
        <v>906</v>
      </c>
      <c r="I26" s="97">
        <v>1</v>
      </c>
      <c r="J26" s="63">
        <f>1300*22720</f>
        <v>29536000</v>
      </c>
      <c r="K26" s="102">
        <f>I26*J26</f>
        <v>29536000</v>
      </c>
      <c r="L26" s="3"/>
      <c r="M26" s="3"/>
    </row>
    <row r="27" spans="1:13" s="5" customFormat="1" ht="16.5">
      <c r="A27" s="60">
        <v>6</v>
      </c>
      <c r="B27" s="61" t="s">
        <v>41</v>
      </c>
      <c r="C27" s="97">
        <v>1</v>
      </c>
      <c r="D27" s="63">
        <v>5168040</v>
      </c>
      <c r="E27" s="102">
        <f t="shared" ref="E27:E28" si="8">C27*D27</f>
        <v>5168040</v>
      </c>
      <c r="G27" s="60">
        <v>6</v>
      </c>
      <c r="H27" s="61" t="s">
        <v>41</v>
      </c>
      <c r="I27" s="97">
        <v>1</v>
      </c>
      <c r="J27" s="63">
        <v>6896280</v>
      </c>
      <c r="K27" s="102">
        <f t="shared" ref="K27:K28" si="9">I27*J27</f>
        <v>6896280</v>
      </c>
      <c r="L27" s="3"/>
      <c r="M27" s="3"/>
    </row>
    <row r="28" spans="1:13" s="5" customFormat="1" ht="16.5">
      <c r="A28" s="60">
        <v>7</v>
      </c>
      <c r="B28" s="61" t="s">
        <v>42</v>
      </c>
      <c r="C28" s="97">
        <v>1</v>
      </c>
      <c r="D28" s="63">
        <v>4610000</v>
      </c>
      <c r="E28" s="102">
        <f t="shared" si="8"/>
        <v>4610000</v>
      </c>
      <c r="G28" s="60">
        <v>7</v>
      </c>
      <c r="H28" s="61" t="s">
        <v>42</v>
      </c>
      <c r="I28" s="97">
        <v>1</v>
      </c>
      <c r="J28" s="63">
        <v>4610000</v>
      </c>
      <c r="K28" s="102">
        <f t="shared" si="9"/>
        <v>4610000</v>
      </c>
      <c r="L28" s="3"/>
      <c r="M28" s="3"/>
    </row>
    <row r="29" spans="1:13" s="5" customFormat="1" ht="16.5">
      <c r="A29" s="60">
        <v>8</v>
      </c>
      <c r="B29" s="61" t="s">
        <v>44</v>
      </c>
      <c r="C29" s="97">
        <v>1</v>
      </c>
      <c r="D29" s="63">
        <v>1056000</v>
      </c>
      <c r="E29" s="102">
        <f>C29*D29</f>
        <v>1056000</v>
      </c>
      <c r="G29" s="60">
        <v>8</v>
      </c>
      <c r="H29" s="61" t="s">
        <v>44</v>
      </c>
      <c r="I29" s="97">
        <v>1</v>
      </c>
      <c r="J29" s="63">
        <v>1056000</v>
      </c>
      <c r="K29" s="102">
        <f>I29*J29</f>
        <v>1056000</v>
      </c>
      <c r="L29" s="3"/>
      <c r="M29" s="3"/>
    </row>
    <row r="30" spans="1:13" s="5" customFormat="1" ht="16.5">
      <c r="A30" s="60">
        <v>9</v>
      </c>
      <c r="B30" s="61" t="s">
        <v>79</v>
      </c>
      <c r="C30" s="97">
        <v>1</v>
      </c>
      <c r="D30" s="63">
        <v>2500000</v>
      </c>
      <c r="E30" s="102">
        <f t="shared" ref="E30" si="10">C30*D30</f>
        <v>2500000</v>
      </c>
      <c r="G30" s="60">
        <v>9</v>
      </c>
      <c r="H30" s="61" t="s">
        <v>79</v>
      </c>
      <c r="I30" s="97">
        <v>1</v>
      </c>
      <c r="J30" s="63">
        <v>2500000</v>
      </c>
      <c r="K30" s="102">
        <f t="shared" ref="K30" si="11">I30*J30</f>
        <v>2500000</v>
      </c>
      <c r="L30" s="3"/>
      <c r="M30" s="3"/>
    </row>
    <row r="31" spans="1:13" s="5" customFormat="1" ht="16.5">
      <c r="A31" s="60">
        <v>10</v>
      </c>
      <c r="B31" s="61" t="s">
        <v>45</v>
      </c>
      <c r="C31" s="97">
        <v>26</v>
      </c>
      <c r="D31" s="63">
        <v>50000</v>
      </c>
      <c r="E31" s="102">
        <f>C31*D31</f>
        <v>1300000</v>
      </c>
      <c r="G31" s="60">
        <v>10</v>
      </c>
      <c r="H31" s="61" t="s">
        <v>45</v>
      </c>
      <c r="I31" s="97">
        <v>26</v>
      </c>
      <c r="J31" s="63">
        <v>50000</v>
      </c>
      <c r="K31" s="102">
        <f>I31*J31</f>
        <v>1300000</v>
      </c>
      <c r="L31" s="3"/>
      <c r="M31" s="3"/>
    </row>
    <row r="32" spans="1:13" s="5" customFormat="1" ht="16.5">
      <c r="A32" s="60"/>
      <c r="B32" s="61"/>
      <c r="C32" s="97"/>
      <c r="D32" s="63"/>
      <c r="E32" s="102"/>
      <c r="G32" s="60"/>
      <c r="H32" s="61"/>
      <c r="I32" s="97"/>
      <c r="J32" s="63"/>
      <c r="K32" s="102"/>
      <c r="L32" s="3"/>
      <c r="M32" s="3"/>
    </row>
    <row r="33" spans="1:13" s="5" customFormat="1" ht="16.5">
      <c r="A33" s="70"/>
      <c r="B33" s="70" t="s">
        <v>48</v>
      </c>
      <c r="C33" s="98"/>
      <c r="D33" s="74">
        <f>SUM(D22:D32)</f>
        <v>54304340</v>
      </c>
      <c r="E33" s="74">
        <f>SUM(E22:E32)</f>
        <v>63471040</v>
      </c>
      <c r="G33" s="70"/>
      <c r="H33" s="70" t="s">
        <v>48</v>
      </c>
      <c r="I33" s="98"/>
      <c r="J33" s="74">
        <f>SUM(J22:J32)</f>
        <v>49248580</v>
      </c>
      <c r="K33" s="74">
        <f>SUM(K22:K32)</f>
        <v>58415280</v>
      </c>
      <c r="L33" s="3"/>
      <c r="M33" s="3"/>
    </row>
    <row r="34" spans="1:13" s="5" customFormat="1" ht="16.5">
      <c r="C34" s="99"/>
      <c r="D34" s="7"/>
      <c r="E34" s="103"/>
      <c r="G34" s="3"/>
      <c r="H34" s="3"/>
      <c r="I34" s="3"/>
      <c r="J34" s="3"/>
      <c r="K34" s="3"/>
      <c r="L34" s="3"/>
      <c r="M34" s="3"/>
    </row>
    <row r="35" spans="1:13" s="5" customFormat="1" ht="16.5">
      <c r="C35" s="99"/>
      <c r="D35" s="7"/>
      <c r="E35" s="103"/>
      <c r="G35" s="3"/>
      <c r="H35" s="3"/>
      <c r="I35" s="3"/>
      <c r="J35" s="3"/>
      <c r="K35" s="3"/>
      <c r="L35" s="3"/>
      <c r="M35" s="3"/>
    </row>
    <row r="36" spans="1:13" s="5" customFormat="1" ht="16.5">
      <c r="C36" s="99"/>
      <c r="D36" s="7"/>
      <c r="E36" s="103"/>
      <c r="G36" s="3"/>
      <c r="H36" s="3"/>
      <c r="I36" s="3"/>
      <c r="J36" s="3"/>
      <c r="K36" s="3"/>
      <c r="L36" s="3"/>
      <c r="M36" s="3"/>
    </row>
  </sheetData>
  <pageMargins left="0.16" right="0.16" top="0.19" bottom="0.25" header="0" footer="0"/>
  <pageSetup paperSize="9" scale="8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11" sqref="C11"/>
    </sheetView>
  </sheetViews>
  <sheetFormatPr defaultRowHeight="15"/>
  <cols>
    <col min="1" max="1" width="6.7109375" style="150" customWidth="1"/>
    <col min="2" max="2" width="30.140625" style="150" customWidth="1"/>
    <col min="3" max="3" width="19.5703125" style="150" customWidth="1"/>
    <col min="4" max="4" width="2.140625" style="150" customWidth="1"/>
    <col min="5" max="5" width="6.7109375" style="150" customWidth="1"/>
    <col min="6" max="6" width="46.85546875" style="150" customWidth="1"/>
    <col min="7" max="7" width="19.5703125" style="150" customWidth="1"/>
    <col min="8" max="16384" width="9.140625" style="150"/>
  </cols>
  <sheetData>
    <row r="1" spans="1:7" ht="29.25" customHeight="1">
      <c r="A1" s="594" t="s">
        <v>969</v>
      </c>
      <c r="E1" s="594" t="s">
        <v>966</v>
      </c>
    </row>
    <row r="2" spans="1:7" ht="10.5" customHeight="1"/>
    <row r="3" spans="1:7" s="586" customFormat="1" ht="21" customHeight="1">
      <c r="A3" s="588" t="s">
        <v>0</v>
      </c>
      <c r="B3" s="588" t="s">
        <v>103</v>
      </c>
      <c r="C3" s="588" t="s">
        <v>967</v>
      </c>
      <c r="E3" s="588" t="s">
        <v>0</v>
      </c>
      <c r="F3" s="591" t="s">
        <v>103</v>
      </c>
      <c r="G3" s="588" t="s">
        <v>981</v>
      </c>
    </row>
    <row r="4" spans="1:7" ht="21" customHeight="1">
      <c r="A4" s="590">
        <v>1</v>
      </c>
      <c r="B4" s="595" t="s">
        <v>968</v>
      </c>
      <c r="C4" s="593">
        <v>94776220</v>
      </c>
      <c r="E4" s="590">
        <v>1</v>
      </c>
      <c r="F4" s="597" t="s">
        <v>976</v>
      </c>
      <c r="G4" s="593">
        <f>27813610+31670430</f>
        <v>59484040</v>
      </c>
    </row>
    <row r="5" spans="1:7" ht="21" customHeight="1">
      <c r="A5" s="243">
        <v>2</v>
      </c>
      <c r="B5" s="147" t="s">
        <v>970</v>
      </c>
      <c r="C5" s="587">
        <v>200000000</v>
      </c>
      <c r="E5" s="243">
        <v>2</v>
      </c>
      <c r="F5" s="598" t="s">
        <v>983</v>
      </c>
      <c r="G5" s="587">
        <v>70000000</v>
      </c>
    </row>
    <row r="6" spans="1:7" ht="21" customHeight="1">
      <c r="A6" s="243">
        <v>3</v>
      </c>
      <c r="B6" s="147" t="s">
        <v>971</v>
      </c>
      <c r="C6" s="587">
        <v>200000000</v>
      </c>
      <c r="E6" s="243">
        <v>3</v>
      </c>
      <c r="F6" s="599" t="s">
        <v>977</v>
      </c>
      <c r="G6" s="587">
        <v>18810000</v>
      </c>
    </row>
    <row r="7" spans="1:7" ht="21" customHeight="1">
      <c r="A7" s="243">
        <v>4</v>
      </c>
      <c r="B7" s="147" t="s">
        <v>972</v>
      </c>
      <c r="C7" s="587">
        <f>49600000+42510000</f>
        <v>92110000</v>
      </c>
      <c r="E7" s="368"/>
      <c r="F7" s="592"/>
      <c r="G7" s="361"/>
    </row>
    <row r="8" spans="1:7" ht="21" customHeight="1">
      <c r="A8" s="243">
        <v>5</v>
      </c>
      <c r="B8" s="147" t="s">
        <v>973</v>
      </c>
      <c r="C8" s="587">
        <v>26576000</v>
      </c>
      <c r="E8" s="935" t="s">
        <v>27</v>
      </c>
      <c r="F8" s="936"/>
      <c r="G8" s="596">
        <f>SUM(G4:G7)</f>
        <v>148294040</v>
      </c>
    </row>
    <row r="9" spans="1:7" ht="21" customHeight="1">
      <c r="A9" s="243">
        <v>6</v>
      </c>
      <c r="B9" s="147" t="s">
        <v>807</v>
      </c>
      <c r="C9" s="587">
        <v>23500000</v>
      </c>
    </row>
    <row r="10" spans="1:7" ht="21" customHeight="1">
      <c r="A10" s="243">
        <v>7</v>
      </c>
      <c r="B10" s="147" t="s">
        <v>974</v>
      </c>
      <c r="C10" s="587">
        <v>70840000</v>
      </c>
      <c r="E10" s="594" t="s">
        <v>984</v>
      </c>
    </row>
    <row r="11" spans="1:7" ht="21" customHeight="1">
      <c r="A11" s="243">
        <v>8</v>
      </c>
      <c r="B11" s="147" t="s">
        <v>975</v>
      </c>
      <c r="C11" s="587">
        <v>180000000</v>
      </c>
      <c r="E11" s="618" t="s">
        <v>0</v>
      </c>
      <c r="F11" s="591" t="s">
        <v>103</v>
      </c>
      <c r="G11" s="618" t="s">
        <v>967</v>
      </c>
    </row>
    <row r="12" spans="1:7" ht="21" customHeight="1">
      <c r="A12" s="243">
        <v>9</v>
      </c>
      <c r="B12" s="147" t="s">
        <v>982</v>
      </c>
      <c r="C12" s="587">
        <v>11000000</v>
      </c>
      <c r="E12" s="243">
        <v>1</v>
      </c>
      <c r="F12" s="600" t="s">
        <v>987</v>
      </c>
      <c r="G12" s="616">
        <v>25151700</v>
      </c>
    </row>
    <row r="13" spans="1:7" ht="21" customHeight="1">
      <c r="A13" s="148"/>
      <c r="B13" s="149"/>
      <c r="C13" s="584"/>
      <c r="E13" s="243">
        <v>2</v>
      </c>
      <c r="F13" s="600" t="s">
        <v>978</v>
      </c>
      <c r="G13" s="616">
        <v>500000000</v>
      </c>
    </row>
    <row r="14" spans="1:7" ht="21" customHeight="1">
      <c r="A14" s="368"/>
      <c r="B14" s="368"/>
      <c r="C14" s="361"/>
      <c r="E14" s="243">
        <v>3</v>
      </c>
      <c r="F14" s="600" t="s">
        <v>979</v>
      </c>
      <c r="G14" s="616">
        <v>35285000</v>
      </c>
    </row>
    <row r="15" spans="1:7" ht="21" customHeight="1">
      <c r="A15" s="935" t="s">
        <v>27</v>
      </c>
      <c r="B15" s="936"/>
      <c r="C15" s="596">
        <f>SUM(C4:C14)</f>
        <v>898802220</v>
      </c>
      <c r="E15" s="243">
        <v>4</v>
      </c>
      <c r="F15" s="600" t="s">
        <v>980</v>
      </c>
      <c r="G15" s="616">
        <v>100000000</v>
      </c>
    </row>
    <row r="16" spans="1:7" ht="21" customHeight="1">
      <c r="E16" s="243">
        <v>5</v>
      </c>
      <c r="F16" s="600" t="s">
        <v>986</v>
      </c>
      <c r="G16" s="616">
        <v>200000000</v>
      </c>
    </row>
    <row r="17" spans="2:7" ht="21" customHeight="1">
      <c r="E17" s="243">
        <v>6</v>
      </c>
      <c r="F17" s="600" t="s">
        <v>985</v>
      </c>
      <c r="G17" s="616">
        <v>30000000</v>
      </c>
    </row>
    <row r="18" spans="2:7" s="586" customFormat="1" ht="21" customHeight="1">
      <c r="B18" s="586" t="s">
        <v>57</v>
      </c>
      <c r="C18" s="617">
        <f>C15+G8+G21</f>
        <v>2135359740</v>
      </c>
      <c r="E18" s="243">
        <v>7</v>
      </c>
      <c r="F18" s="600" t="s">
        <v>988</v>
      </c>
      <c r="G18" s="616">
        <f>129802140+8874640</f>
        <v>138676780</v>
      </c>
    </row>
    <row r="19" spans="2:7" ht="21" customHeight="1">
      <c r="E19" s="243">
        <v>8</v>
      </c>
      <c r="F19" s="600" t="s">
        <v>989</v>
      </c>
      <c r="G19" s="616">
        <v>59150000</v>
      </c>
    </row>
    <row r="20" spans="2:7" ht="9.75" customHeight="1">
      <c r="E20" s="368"/>
      <c r="F20" s="592"/>
      <c r="G20" s="361"/>
    </row>
    <row r="21" spans="2:7" ht="21" customHeight="1">
      <c r="E21" s="935" t="s">
        <v>27</v>
      </c>
      <c r="F21" s="936"/>
      <c r="G21" s="596">
        <f>SUM(G12:G20)</f>
        <v>1088263480</v>
      </c>
    </row>
  </sheetData>
  <mergeCells count="3">
    <mergeCell ref="A15:B15"/>
    <mergeCell ref="E8:F8"/>
    <mergeCell ref="E21:F21"/>
  </mergeCells>
  <pageMargins left="0.28999999999999998" right="0.16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27"/>
  <sheetViews>
    <sheetView zoomScale="90" zoomScaleNormal="90" workbookViewId="0">
      <selection activeCell="C18" sqref="C18"/>
    </sheetView>
  </sheetViews>
  <sheetFormatPr defaultColWidth="9.140625" defaultRowHeight="15"/>
  <cols>
    <col min="1" max="1" width="28.140625" style="335" customWidth="1"/>
    <col min="2" max="2" width="11.28515625" style="334" customWidth="1"/>
    <col min="3" max="3" width="16.28515625" style="334" customWidth="1"/>
    <col min="4" max="4" width="9.5703125" style="335" customWidth="1"/>
    <col min="5" max="5" width="17.7109375" style="335" customWidth="1"/>
    <col min="6" max="6" width="9.7109375" style="335" customWidth="1"/>
    <col min="7" max="7" width="17.7109375" style="335" customWidth="1"/>
    <col min="8" max="16384" width="9.140625" style="335"/>
  </cols>
  <sheetData>
    <row r="1" spans="1:16" s="534" customFormat="1" ht="29.25" customHeight="1">
      <c r="B1" s="534" t="s">
        <v>1186</v>
      </c>
      <c r="C1" s="581"/>
      <c r="D1" s="534" t="s">
        <v>1188</v>
      </c>
      <c r="F1" s="534" t="s">
        <v>1189</v>
      </c>
    </row>
    <row r="2" spans="1:16" ht="42" customHeight="1">
      <c r="A2" s="715" t="s">
        <v>21</v>
      </c>
      <c r="B2" s="715" t="s">
        <v>1187</v>
      </c>
      <c r="C2" s="716" t="s">
        <v>52</v>
      </c>
      <c r="D2" s="715" t="s">
        <v>1187</v>
      </c>
      <c r="E2" s="716" t="s">
        <v>52</v>
      </c>
      <c r="F2" s="715" t="s">
        <v>1187</v>
      </c>
      <c r="G2" s="716" t="s">
        <v>52</v>
      </c>
    </row>
    <row r="3" spans="1:16" ht="20.25" customHeight="1">
      <c r="A3" s="256" t="s">
        <v>394</v>
      </c>
      <c r="B3" s="355">
        <v>42828</v>
      </c>
      <c r="C3" s="255">
        <v>2848697800</v>
      </c>
      <c r="D3" s="355">
        <v>42990</v>
      </c>
      <c r="E3" s="255">
        <v>716994000</v>
      </c>
      <c r="F3" s="355"/>
      <c r="G3" s="255"/>
    </row>
    <row r="4" spans="1:16" ht="20.25" customHeight="1">
      <c r="A4" s="256" t="s">
        <v>394</v>
      </c>
      <c r="B4" s="724">
        <v>42843</v>
      </c>
      <c r="C4" s="255">
        <v>1349618000</v>
      </c>
      <c r="D4" s="724">
        <v>43005</v>
      </c>
      <c r="E4" s="255">
        <v>930600000</v>
      </c>
      <c r="F4" s="724"/>
      <c r="G4" s="255"/>
    </row>
    <row r="5" spans="1:16" ht="20.25" customHeight="1">
      <c r="A5" s="256" t="s">
        <v>394</v>
      </c>
      <c r="B5" s="724">
        <v>42850</v>
      </c>
      <c r="C5" s="255">
        <f>5186275000-204000000</f>
        <v>4982275000</v>
      </c>
      <c r="D5" s="724">
        <v>43011</v>
      </c>
      <c r="E5" s="255">
        <v>322400000</v>
      </c>
      <c r="F5" s="724">
        <v>43011</v>
      </c>
      <c r="G5" s="255">
        <f>917432000-E5</f>
        <v>595032000</v>
      </c>
    </row>
    <row r="6" spans="1:16" ht="20.25" customHeight="1">
      <c r="A6" s="256" t="s">
        <v>394</v>
      </c>
      <c r="B6" s="724">
        <v>42864</v>
      </c>
      <c r="C6" s="255">
        <v>662146000</v>
      </c>
      <c r="D6" s="724"/>
      <c r="E6" s="255"/>
      <c r="F6" s="724">
        <v>43069</v>
      </c>
      <c r="G6" s="255">
        <v>2200000000</v>
      </c>
    </row>
    <row r="7" spans="1:16" ht="20.25" customHeight="1">
      <c r="A7" s="256" t="s">
        <v>394</v>
      </c>
      <c r="B7" s="724">
        <v>42868</v>
      </c>
      <c r="C7" s="255">
        <v>3162276000</v>
      </c>
      <c r="D7" s="724"/>
      <c r="E7" s="255"/>
      <c r="F7" s="724">
        <v>43074</v>
      </c>
      <c r="G7" s="255">
        <v>2000000000</v>
      </c>
    </row>
    <row r="8" spans="1:16" ht="20.25" customHeight="1">
      <c r="A8" s="256" t="s">
        <v>394</v>
      </c>
      <c r="B8" s="724">
        <v>42926</v>
      </c>
      <c r="C8" s="255">
        <v>1411865000</v>
      </c>
      <c r="D8" s="724"/>
      <c r="E8" s="255"/>
      <c r="F8" s="724">
        <v>43084</v>
      </c>
      <c r="G8" s="255">
        <v>800000000</v>
      </c>
    </row>
    <row r="9" spans="1:16" ht="20.25" customHeight="1">
      <c r="A9" s="256" t="s">
        <v>394</v>
      </c>
      <c r="B9" s="724">
        <v>42930</v>
      </c>
      <c r="C9" s="255">
        <v>2220230000</v>
      </c>
      <c r="D9" s="724"/>
      <c r="E9" s="255"/>
      <c r="F9" s="724"/>
      <c r="G9" s="255"/>
    </row>
    <row r="10" spans="1:16" ht="20.25" customHeight="1">
      <c r="A10" s="256" t="s">
        <v>394</v>
      </c>
      <c r="B10" s="724">
        <v>42935</v>
      </c>
      <c r="C10" s="255">
        <v>1912587000</v>
      </c>
      <c r="D10" s="724"/>
      <c r="E10" s="255"/>
      <c r="F10" s="724"/>
      <c r="G10" s="255"/>
    </row>
    <row r="11" spans="1:16" ht="20.25" customHeight="1">
      <c r="A11" s="256" t="s">
        <v>394</v>
      </c>
      <c r="B11" s="724">
        <v>42941</v>
      </c>
      <c r="C11" s="258">
        <v>2709455000</v>
      </c>
      <c r="D11" s="724"/>
      <c r="E11" s="258"/>
      <c r="F11" s="724"/>
      <c r="G11" s="258"/>
    </row>
    <row r="12" spans="1:16" ht="20.25" customHeight="1">
      <c r="A12" s="256" t="s">
        <v>394</v>
      </c>
      <c r="B12" s="724">
        <v>42949</v>
      </c>
      <c r="C12" s="255">
        <v>1397242000</v>
      </c>
      <c r="D12" s="724"/>
      <c r="E12" s="255"/>
      <c r="F12" s="724"/>
      <c r="G12" s="255"/>
    </row>
    <row r="13" spans="1:16" s="334" customFormat="1" ht="20.25" customHeight="1">
      <c r="A13" s="256" t="s">
        <v>394</v>
      </c>
      <c r="B13" s="724">
        <v>42985</v>
      </c>
      <c r="C13" s="255">
        <v>1290562000</v>
      </c>
      <c r="D13" s="724"/>
      <c r="E13" s="255"/>
      <c r="F13" s="724"/>
      <c r="G13" s="255"/>
      <c r="H13" s="335"/>
      <c r="I13" s="335"/>
      <c r="J13" s="335"/>
      <c r="K13" s="335"/>
      <c r="L13" s="335"/>
      <c r="M13" s="335"/>
      <c r="N13" s="335"/>
      <c r="O13" s="335"/>
      <c r="P13" s="335"/>
    </row>
    <row r="14" spans="1:16" s="334" customFormat="1" ht="20.25" customHeight="1">
      <c r="A14" s="256" t="s">
        <v>394</v>
      </c>
      <c r="B14" s="724">
        <v>42993</v>
      </c>
      <c r="C14" s="255">
        <v>3000000000</v>
      </c>
      <c r="D14" s="724"/>
      <c r="E14" s="255"/>
      <c r="F14" s="724"/>
      <c r="G14" s="255"/>
      <c r="H14" s="335"/>
      <c r="I14" s="335"/>
      <c r="J14" s="335"/>
      <c r="K14" s="335"/>
      <c r="L14" s="335"/>
      <c r="M14" s="335"/>
      <c r="N14" s="335"/>
      <c r="O14" s="335"/>
      <c r="P14" s="335"/>
    </row>
    <row r="15" spans="1:16" s="334" customFormat="1" ht="20.25" customHeight="1">
      <c r="A15" s="256" t="s">
        <v>394</v>
      </c>
      <c r="B15" s="724">
        <v>42993</v>
      </c>
      <c r="C15" s="255">
        <v>2000000000</v>
      </c>
      <c r="D15" s="724"/>
      <c r="E15" s="255"/>
      <c r="F15" s="724"/>
      <c r="G15" s="255"/>
      <c r="H15" s="335"/>
      <c r="I15" s="335"/>
      <c r="J15" s="335"/>
      <c r="K15" s="335"/>
      <c r="L15" s="335"/>
      <c r="M15" s="335"/>
      <c r="N15" s="335"/>
      <c r="O15" s="335"/>
      <c r="P15" s="335"/>
    </row>
    <row r="16" spans="1:16" s="334" customFormat="1" ht="20.25" customHeight="1">
      <c r="A16" s="256" t="s">
        <v>394</v>
      </c>
      <c r="B16" s="724">
        <v>42994</v>
      </c>
      <c r="C16" s="255">
        <v>1000000000</v>
      </c>
      <c r="D16" s="724"/>
      <c r="E16" s="255"/>
      <c r="F16" s="724"/>
      <c r="G16" s="255"/>
      <c r="H16" s="335"/>
      <c r="I16" s="335"/>
      <c r="J16" s="335"/>
      <c r="K16" s="335"/>
      <c r="L16" s="335"/>
      <c r="M16" s="335"/>
      <c r="N16" s="335"/>
      <c r="O16" s="335"/>
      <c r="P16" s="335"/>
    </row>
    <row r="17" spans="1:16" s="334" customFormat="1" ht="20.25" customHeight="1">
      <c r="A17" s="256" t="s">
        <v>394</v>
      </c>
      <c r="B17" s="724">
        <v>42996</v>
      </c>
      <c r="C17" s="255">
        <v>149245000</v>
      </c>
      <c r="D17" s="724"/>
      <c r="E17" s="255"/>
      <c r="F17" s="724"/>
      <c r="G17" s="255"/>
      <c r="H17" s="335"/>
      <c r="I17" s="335"/>
      <c r="J17" s="335"/>
      <c r="K17" s="335"/>
      <c r="L17" s="335"/>
      <c r="M17" s="335"/>
      <c r="N17" s="335"/>
      <c r="O17" s="335"/>
      <c r="P17" s="335"/>
    </row>
    <row r="18" spans="1:16" s="334" customFormat="1" ht="20.25" customHeight="1">
      <c r="A18" s="256" t="s">
        <v>394</v>
      </c>
      <c r="B18" s="724">
        <v>42999</v>
      </c>
      <c r="C18" s="255">
        <v>3299500000</v>
      </c>
      <c r="D18" s="724"/>
      <c r="E18" s="255"/>
      <c r="F18" s="724"/>
      <c r="G18" s="255"/>
      <c r="H18" s="335"/>
      <c r="I18" s="335"/>
      <c r="J18" s="335"/>
      <c r="K18" s="335"/>
      <c r="L18" s="335"/>
      <c r="M18" s="335"/>
      <c r="N18" s="335"/>
      <c r="O18" s="335"/>
      <c r="P18" s="335"/>
    </row>
    <row r="19" spans="1:16" ht="20.25" customHeight="1">
      <c r="A19" s="256" t="s">
        <v>394</v>
      </c>
      <c r="B19" s="724">
        <v>43033</v>
      </c>
      <c r="C19" s="255">
        <v>4053558000</v>
      </c>
      <c r="D19" s="724"/>
      <c r="E19" s="255"/>
      <c r="F19" s="724"/>
      <c r="G19" s="255"/>
    </row>
    <row r="20" spans="1:16" ht="20.25" customHeight="1">
      <c r="A20" s="256" t="s">
        <v>394</v>
      </c>
      <c r="B20" s="724">
        <v>43045</v>
      </c>
      <c r="C20" s="255">
        <v>6439946500</v>
      </c>
      <c r="D20" s="724"/>
      <c r="E20" s="255"/>
      <c r="F20" s="724"/>
      <c r="G20" s="255"/>
    </row>
    <row r="21" spans="1:16" ht="20.25" customHeight="1">
      <c r="A21" s="256" t="s">
        <v>394</v>
      </c>
      <c r="B21" s="724">
        <v>43049</v>
      </c>
      <c r="C21" s="255">
        <v>1121952000</v>
      </c>
      <c r="D21" s="724"/>
      <c r="E21" s="255"/>
      <c r="F21" s="724"/>
      <c r="G21" s="255"/>
    </row>
    <row r="22" spans="1:16" ht="21.75" customHeight="1">
      <c r="A22" s="256" t="s">
        <v>394</v>
      </c>
      <c r="B22" s="724">
        <v>43077</v>
      </c>
      <c r="C22" s="255">
        <v>2427880000</v>
      </c>
      <c r="D22" s="724"/>
      <c r="E22" s="255"/>
      <c r="F22" s="724"/>
      <c r="G22" s="255"/>
    </row>
    <row r="23" spans="1:16" ht="21.75" customHeight="1">
      <c r="A23" s="257" t="s">
        <v>394</v>
      </c>
      <c r="B23" s="724">
        <v>43089</v>
      </c>
      <c r="C23" s="258">
        <v>1204970000</v>
      </c>
      <c r="D23" s="724"/>
      <c r="E23" s="258"/>
      <c r="F23" s="724"/>
      <c r="G23" s="258"/>
    </row>
    <row r="24" spans="1:16" s="534" customFormat="1" ht="21.75" customHeight="1">
      <c r="A24" s="725" t="s">
        <v>19</v>
      </c>
      <c r="B24" s="726"/>
      <c r="C24" s="727">
        <f>SUM(C3:C23)</f>
        <v>48644005300</v>
      </c>
      <c r="D24" s="727"/>
      <c r="E24" s="727">
        <f>SUM(E3:E23)</f>
        <v>1969994000</v>
      </c>
      <c r="F24" s="727"/>
      <c r="G24" s="727">
        <f t="shared" ref="G24" si="0">SUM(G3:G23)</f>
        <v>5595032000</v>
      </c>
    </row>
    <row r="25" spans="1:16" ht="21.75" customHeight="1"/>
    <row r="26" spans="1:16" ht="21.75" customHeight="1"/>
    <row r="27" spans="1:16" ht="21.75" customHeight="1"/>
  </sheetData>
  <pageMargins left="0.16" right="0" top="0.44" bottom="0.16" header="0.16" footer="0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43"/>
  <sheetViews>
    <sheetView zoomScale="90" zoomScaleNormal="90" workbookViewId="0">
      <selection activeCell="O75" sqref="O75"/>
    </sheetView>
  </sheetViews>
  <sheetFormatPr defaultColWidth="9.140625" defaultRowHeight="12.75"/>
  <cols>
    <col min="1" max="1" width="5.7109375" customWidth="1"/>
    <col min="2" max="3" width="10.85546875" customWidth="1"/>
    <col min="4" max="4" width="15.5703125" customWidth="1"/>
    <col min="5" max="5" width="9" customWidth="1"/>
    <col min="6" max="6" width="6.7109375" customWidth="1"/>
    <col min="7" max="7" width="11" bestFit="1" customWidth="1"/>
    <col min="8" max="8" width="7.7109375" customWidth="1"/>
    <col min="9" max="9" width="18.7109375" bestFit="1" customWidth="1"/>
    <col min="10" max="10" width="12.28515625" customWidth="1"/>
  </cols>
  <sheetData>
    <row r="1" spans="1:10" s="335" customFormat="1" ht="19.5" customHeight="1">
      <c r="B1" s="352" t="s">
        <v>1246</v>
      </c>
    </row>
    <row r="2" spans="1:10" s="335" customFormat="1" ht="21.75" customHeight="1">
      <c r="A2" s="803" t="s">
        <v>0</v>
      </c>
      <c r="B2" s="803" t="s">
        <v>1241</v>
      </c>
      <c r="C2" s="803" t="s">
        <v>1</v>
      </c>
      <c r="D2" s="803" t="s">
        <v>21</v>
      </c>
      <c r="E2" s="803" t="s">
        <v>83</v>
      </c>
      <c r="F2" s="803" t="s">
        <v>1244</v>
      </c>
      <c r="G2" s="803" t="s">
        <v>7</v>
      </c>
      <c r="H2" s="803" t="s">
        <v>8</v>
      </c>
      <c r="I2" s="803" t="s">
        <v>9</v>
      </c>
      <c r="J2" s="803" t="s">
        <v>82</v>
      </c>
    </row>
    <row r="3" spans="1:10" s="335" customFormat="1" ht="15" customHeight="1">
      <c r="A3" s="803"/>
      <c r="B3" s="803"/>
      <c r="C3" s="803"/>
      <c r="D3" s="803"/>
      <c r="E3" s="803"/>
      <c r="F3" s="803"/>
      <c r="G3" s="803"/>
      <c r="H3" s="803"/>
      <c r="I3" s="803"/>
      <c r="J3" s="803"/>
    </row>
    <row r="4" spans="1:10" s="335" customFormat="1" ht="15" customHeight="1">
      <c r="A4" s="765">
        <v>1</v>
      </c>
      <c r="B4" s="355">
        <v>43157</v>
      </c>
      <c r="C4" s="513">
        <v>43166</v>
      </c>
      <c r="D4" s="760" t="s">
        <v>1242</v>
      </c>
      <c r="E4" s="762">
        <v>2030</v>
      </c>
      <c r="F4" s="310">
        <v>13</v>
      </c>
      <c r="G4" s="758">
        <f>E4*F4</f>
        <v>26390</v>
      </c>
      <c r="H4" s="310">
        <v>49500</v>
      </c>
      <c r="I4" s="767">
        <f>G4*H4</f>
        <v>1306305000</v>
      </c>
      <c r="J4" s="760"/>
    </row>
    <row r="5" spans="1:10" s="335" customFormat="1" ht="15" customHeight="1">
      <c r="A5" s="489">
        <v>2</v>
      </c>
      <c r="B5" s="355">
        <v>43159</v>
      </c>
      <c r="C5" s="513">
        <v>43166</v>
      </c>
      <c r="D5" s="253" t="s">
        <v>1242</v>
      </c>
      <c r="E5" s="310">
        <v>2030</v>
      </c>
      <c r="F5" s="310">
        <v>13</v>
      </c>
      <c r="G5" s="758">
        <f t="shared" ref="G5:G23" si="0">E5*F5</f>
        <v>26390</v>
      </c>
      <c r="H5" s="310">
        <v>49500</v>
      </c>
      <c r="I5" s="768">
        <f t="shared" ref="I5:I22" si="1">G5*H5</f>
        <v>1306305000</v>
      </c>
      <c r="J5" s="253"/>
    </row>
    <row r="6" spans="1:10" s="335" customFormat="1" ht="15" customHeight="1">
      <c r="A6" s="489">
        <v>3</v>
      </c>
      <c r="B6" s="355"/>
      <c r="C6" s="355"/>
      <c r="D6" s="253"/>
      <c r="E6" s="310"/>
      <c r="F6" s="310"/>
      <c r="G6" s="758">
        <f t="shared" si="0"/>
        <v>0</v>
      </c>
      <c r="H6" s="310"/>
      <c r="I6" s="768">
        <f t="shared" si="1"/>
        <v>0</v>
      </c>
      <c r="J6" s="253"/>
    </row>
    <row r="7" spans="1:10" s="335" customFormat="1" ht="15" customHeight="1">
      <c r="A7" s="489">
        <v>4</v>
      </c>
      <c r="B7" s="355"/>
      <c r="C7" s="355"/>
      <c r="D7" s="253"/>
      <c r="E7" s="310"/>
      <c r="F7" s="310"/>
      <c r="G7" s="758">
        <f t="shared" si="0"/>
        <v>0</v>
      </c>
      <c r="H7" s="310"/>
      <c r="I7" s="768">
        <f t="shared" si="1"/>
        <v>0</v>
      </c>
      <c r="J7" s="253"/>
    </row>
    <row r="8" spans="1:10" s="335" customFormat="1" ht="15" customHeight="1">
      <c r="A8" s="489">
        <v>5</v>
      </c>
      <c r="B8" s="355"/>
      <c r="C8" s="355"/>
      <c r="D8" s="253"/>
      <c r="E8" s="310"/>
      <c r="F8" s="310"/>
      <c r="G8" s="758">
        <f t="shared" si="0"/>
        <v>0</v>
      </c>
      <c r="H8" s="310"/>
      <c r="I8" s="768">
        <f t="shared" si="1"/>
        <v>0</v>
      </c>
      <c r="J8" s="253"/>
    </row>
    <row r="9" spans="1:10" s="335" customFormat="1" ht="15" customHeight="1">
      <c r="A9" s="489">
        <v>6</v>
      </c>
      <c r="B9" s="355"/>
      <c r="C9" s="355"/>
      <c r="D9" s="253"/>
      <c r="E9" s="310"/>
      <c r="F9" s="310"/>
      <c r="G9" s="758">
        <f t="shared" si="0"/>
        <v>0</v>
      </c>
      <c r="H9" s="310"/>
      <c r="I9" s="768">
        <f t="shared" si="1"/>
        <v>0</v>
      </c>
      <c r="J9" s="253"/>
    </row>
    <row r="10" spans="1:10" s="335" customFormat="1" ht="15" customHeight="1">
      <c r="A10" s="489">
        <v>7</v>
      </c>
      <c r="B10" s="355"/>
      <c r="C10" s="355"/>
      <c r="D10" s="253"/>
      <c r="E10" s="310"/>
      <c r="F10" s="310"/>
      <c r="G10" s="758">
        <f t="shared" si="0"/>
        <v>0</v>
      </c>
      <c r="H10" s="310"/>
      <c r="I10" s="768">
        <f t="shared" si="1"/>
        <v>0</v>
      </c>
      <c r="J10" s="253"/>
    </row>
    <row r="11" spans="1:10" s="335" customFormat="1" ht="15" customHeight="1">
      <c r="A11" s="489">
        <v>8</v>
      </c>
      <c r="B11" s="355"/>
      <c r="C11" s="355"/>
      <c r="D11" s="253"/>
      <c r="E11" s="310"/>
      <c r="F11" s="310"/>
      <c r="G11" s="758">
        <f t="shared" si="0"/>
        <v>0</v>
      </c>
      <c r="H11" s="310"/>
      <c r="I11" s="768">
        <f t="shared" si="1"/>
        <v>0</v>
      </c>
      <c r="J11" s="253"/>
    </row>
    <row r="12" spans="1:10" s="335" customFormat="1" ht="15" customHeight="1">
      <c r="A12" s="489">
        <v>9</v>
      </c>
      <c r="B12" s="355"/>
      <c r="C12" s="355"/>
      <c r="D12" s="253"/>
      <c r="E12" s="310"/>
      <c r="F12" s="310"/>
      <c r="G12" s="758">
        <f t="shared" si="0"/>
        <v>0</v>
      </c>
      <c r="H12" s="310"/>
      <c r="I12" s="768">
        <f t="shared" si="1"/>
        <v>0</v>
      </c>
      <c r="J12" s="253"/>
    </row>
    <row r="13" spans="1:10" s="335" customFormat="1" ht="15" customHeight="1">
      <c r="A13" s="489">
        <v>10</v>
      </c>
      <c r="B13" s="355"/>
      <c r="C13" s="355"/>
      <c r="D13" s="253"/>
      <c r="E13" s="310"/>
      <c r="F13" s="310"/>
      <c r="G13" s="758">
        <f t="shared" si="0"/>
        <v>0</v>
      </c>
      <c r="H13" s="310"/>
      <c r="I13" s="768">
        <f t="shared" si="1"/>
        <v>0</v>
      </c>
      <c r="J13" s="253"/>
    </row>
    <row r="14" spans="1:10" s="335" customFormat="1" ht="15" customHeight="1">
      <c r="A14" s="489">
        <v>11</v>
      </c>
      <c r="B14" s="355"/>
      <c r="C14" s="355"/>
      <c r="D14" s="253"/>
      <c r="E14" s="310"/>
      <c r="F14" s="310"/>
      <c r="G14" s="758">
        <f t="shared" si="0"/>
        <v>0</v>
      </c>
      <c r="H14" s="310"/>
      <c r="I14" s="768">
        <f t="shared" si="1"/>
        <v>0</v>
      </c>
      <c r="J14" s="253"/>
    </row>
    <row r="15" spans="1:10" s="335" customFormat="1" ht="15" customHeight="1">
      <c r="A15" s="489">
        <v>12</v>
      </c>
      <c r="B15" s="355"/>
      <c r="C15" s="355"/>
      <c r="D15" s="253"/>
      <c r="E15" s="310"/>
      <c r="F15" s="310"/>
      <c r="G15" s="758">
        <f t="shared" si="0"/>
        <v>0</v>
      </c>
      <c r="H15" s="310"/>
      <c r="I15" s="768">
        <f t="shared" si="1"/>
        <v>0</v>
      </c>
      <c r="J15" s="253"/>
    </row>
    <row r="16" spans="1:10" s="335" customFormat="1" ht="15" customHeight="1">
      <c r="A16" s="489">
        <v>13</v>
      </c>
      <c r="B16" s="355"/>
      <c r="C16" s="355"/>
      <c r="D16" s="253"/>
      <c r="E16" s="310"/>
      <c r="F16" s="310"/>
      <c r="G16" s="758">
        <f t="shared" si="0"/>
        <v>0</v>
      </c>
      <c r="H16" s="310"/>
      <c r="I16" s="768">
        <f t="shared" si="1"/>
        <v>0</v>
      </c>
      <c r="J16" s="253"/>
    </row>
    <row r="17" spans="1:10" s="335" customFormat="1" ht="15" customHeight="1">
      <c r="A17" s="489"/>
      <c r="B17" s="355"/>
      <c r="C17" s="355"/>
      <c r="D17" s="253"/>
      <c r="E17" s="310"/>
      <c r="F17" s="310"/>
      <c r="G17" s="758">
        <f t="shared" si="0"/>
        <v>0</v>
      </c>
      <c r="H17" s="310"/>
      <c r="I17" s="768">
        <f t="shared" si="1"/>
        <v>0</v>
      </c>
      <c r="J17" s="253"/>
    </row>
    <row r="18" spans="1:10" s="335" customFormat="1" ht="15" customHeight="1">
      <c r="A18" s="489"/>
      <c r="B18" s="355"/>
      <c r="C18" s="355"/>
      <c r="D18" s="253"/>
      <c r="E18" s="310"/>
      <c r="F18" s="310"/>
      <c r="G18" s="758">
        <f t="shared" si="0"/>
        <v>0</v>
      </c>
      <c r="H18" s="310"/>
      <c r="I18" s="768">
        <f t="shared" si="1"/>
        <v>0</v>
      </c>
      <c r="J18" s="253"/>
    </row>
    <row r="19" spans="1:10" s="335" customFormat="1" ht="15" customHeight="1">
      <c r="A19" s="489"/>
      <c r="B19" s="355"/>
      <c r="C19" s="355"/>
      <c r="D19" s="253"/>
      <c r="E19" s="310"/>
      <c r="F19" s="310"/>
      <c r="G19" s="758">
        <f t="shared" si="0"/>
        <v>0</v>
      </c>
      <c r="H19" s="310"/>
      <c r="I19" s="768">
        <f t="shared" si="1"/>
        <v>0</v>
      </c>
      <c r="J19" s="253"/>
    </row>
    <row r="20" spans="1:10" s="335" customFormat="1" ht="15" customHeight="1">
      <c r="A20" s="489"/>
      <c r="B20" s="355"/>
      <c r="C20" s="355"/>
      <c r="D20" s="253"/>
      <c r="E20" s="310"/>
      <c r="F20" s="310"/>
      <c r="G20" s="758">
        <f t="shared" si="0"/>
        <v>0</v>
      </c>
      <c r="H20" s="310"/>
      <c r="I20" s="768">
        <f t="shared" si="1"/>
        <v>0</v>
      </c>
      <c r="J20" s="253"/>
    </row>
    <row r="21" spans="1:10" s="335" customFormat="1" ht="15" customHeight="1">
      <c r="A21" s="489"/>
      <c r="B21" s="355"/>
      <c r="C21" s="355"/>
      <c r="D21" s="253"/>
      <c r="E21" s="310"/>
      <c r="F21" s="310"/>
      <c r="G21" s="758">
        <f t="shared" si="0"/>
        <v>0</v>
      </c>
      <c r="H21" s="310"/>
      <c r="I21" s="768">
        <f t="shared" si="1"/>
        <v>0</v>
      </c>
      <c r="J21" s="253"/>
    </row>
    <row r="22" spans="1:10" s="335" customFormat="1" ht="15" customHeight="1">
      <c r="A22" s="489"/>
      <c r="B22" s="355"/>
      <c r="C22" s="355"/>
      <c r="D22" s="253"/>
      <c r="E22" s="310"/>
      <c r="F22" s="310"/>
      <c r="G22" s="758">
        <f t="shared" si="0"/>
        <v>0</v>
      </c>
      <c r="H22" s="310"/>
      <c r="I22" s="768">
        <f t="shared" si="1"/>
        <v>0</v>
      </c>
      <c r="J22" s="253"/>
    </row>
    <row r="23" spans="1:10" s="335" customFormat="1" ht="4.5" customHeight="1">
      <c r="A23" s="359"/>
      <c r="B23" s="355"/>
      <c r="C23" s="724"/>
      <c r="D23" s="761"/>
      <c r="E23" s="763"/>
      <c r="F23" s="763"/>
      <c r="G23" s="758">
        <f t="shared" si="0"/>
        <v>0</v>
      </c>
      <c r="H23" s="763"/>
      <c r="I23" s="761"/>
      <c r="J23" s="761"/>
    </row>
    <row r="24" spans="1:10" s="335" customFormat="1" ht="15">
      <c r="A24" s="766"/>
      <c r="B24" s="759"/>
      <c r="C24" s="759"/>
      <c r="D24" s="414" t="s">
        <v>19</v>
      </c>
      <c r="E24" s="413">
        <f>SUM(E4:E23)</f>
        <v>4060</v>
      </c>
      <c r="F24" s="413"/>
      <c r="G24" s="764">
        <f>SUM(G4:G23)</f>
        <v>52780</v>
      </c>
      <c r="H24" s="764"/>
      <c r="I24" s="413">
        <f t="shared" ref="I24" si="2">SUM(I4:I23)</f>
        <v>2612610000</v>
      </c>
      <c r="J24" s="759"/>
    </row>
    <row r="25" spans="1:10" s="335" customFormat="1" ht="6.75" customHeight="1"/>
    <row r="26" spans="1:10" s="335" customFormat="1" ht="15">
      <c r="E26" s="689" t="s">
        <v>1240</v>
      </c>
      <c r="F26" s="560"/>
      <c r="G26" s="560"/>
      <c r="H26" s="560"/>
      <c r="I26" s="688">
        <v>1305900000</v>
      </c>
    </row>
    <row r="27" spans="1:10" s="335" customFormat="1" ht="15">
      <c r="E27" s="689"/>
      <c r="F27" s="560"/>
      <c r="G27" s="560"/>
      <c r="H27" s="560"/>
      <c r="I27" s="688"/>
    </row>
    <row r="28" spans="1:10" s="335" customFormat="1" ht="15">
      <c r="E28" s="689"/>
      <c r="F28" s="560"/>
      <c r="G28" s="560"/>
      <c r="H28" s="560"/>
      <c r="I28" s="688"/>
    </row>
    <row r="29" spans="1:10" s="335" customFormat="1" ht="15">
      <c r="E29" s="689"/>
      <c r="F29" s="560"/>
      <c r="G29" s="560"/>
      <c r="H29" s="560"/>
      <c r="I29" s="688"/>
    </row>
    <row r="30" spans="1:10" s="335" customFormat="1" ht="15">
      <c r="E30" s="689"/>
      <c r="F30" s="560"/>
      <c r="G30" s="560"/>
      <c r="H30" s="560"/>
      <c r="I30" s="688"/>
    </row>
    <row r="31" spans="1:10" s="335" customFormat="1" ht="3" customHeight="1"/>
    <row r="32" spans="1:10" s="335" customFormat="1" ht="15">
      <c r="E32" s="560" t="s">
        <v>900</v>
      </c>
      <c r="F32" s="560"/>
      <c r="G32" s="560"/>
      <c r="H32" s="560"/>
      <c r="I32" s="769">
        <f>SUM(I26:I31)</f>
        <v>1305900000</v>
      </c>
    </row>
    <row r="33" spans="2:9" s="682" customFormat="1" ht="14.25">
      <c r="E33" s="560"/>
      <c r="F33" s="560"/>
      <c r="G33" s="560"/>
      <c r="H33" s="560"/>
      <c r="I33" s="784"/>
    </row>
    <row r="34" spans="2:9" s="682" customFormat="1" ht="14.25">
      <c r="B34" s="687"/>
      <c r="C34" s="687"/>
      <c r="D34" s="687"/>
      <c r="E34" s="560" t="s">
        <v>1247</v>
      </c>
      <c r="F34"/>
      <c r="G34"/>
      <c r="H34"/>
      <c r="I34" s="784">
        <f>I24-I32</f>
        <v>1306710000</v>
      </c>
    </row>
    <row r="35" spans="2:9" s="682" customFormat="1" ht="14.25">
      <c r="B35" s="687"/>
      <c r="C35" s="687"/>
      <c r="D35"/>
      <c r="E35"/>
      <c r="F35"/>
      <c r="G35"/>
      <c r="H35"/>
      <c r="I35" s="785"/>
    </row>
    <row r="36" spans="2:9" s="682" customFormat="1" ht="14.25">
      <c r="B36" s="687"/>
      <c r="C36" s="687"/>
      <c r="D36"/>
      <c r="E36"/>
      <c r="F36"/>
      <c r="G36"/>
      <c r="H36"/>
      <c r="I36" s="785"/>
    </row>
    <row r="37" spans="2:9" ht="3" customHeight="1">
      <c r="I37" s="786"/>
    </row>
    <row r="38" spans="2:9" ht="14.25" customHeight="1">
      <c r="E38" s="560"/>
      <c r="I38" s="784"/>
    </row>
    <row r="39" spans="2:9">
      <c r="I39" s="786"/>
    </row>
    <row r="43" spans="2:9" ht="3.75" customHeight="1"/>
  </sheetData>
  <mergeCells count="10">
    <mergeCell ref="A2:A3"/>
    <mergeCell ref="B2:B3"/>
    <mergeCell ref="I2:I3"/>
    <mergeCell ref="J2:J3"/>
    <mergeCell ref="C2:C3"/>
    <mergeCell ref="D2:D3"/>
    <mergeCell ref="E2:E3"/>
    <mergeCell ref="F2:F3"/>
    <mergeCell ref="G2:G3"/>
    <mergeCell ref="H2:H3"/>
  </mergeCells>
  <pageMargins left="0.16" right="0.16" top="0.27" bottom="0.16" header="0.16" footer="0"/>
  <pageSetup paperSize="9"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43"/>
  <sheetViews>
    <sheetView zoomScale="90" zoomScaleNormal="90" workbookViewId="0">
      <selection activeCell="H6" sqref="H6"/>
    </sheetView>
  </sheetViews>
  <sheetFormatPr defaultColWidth="9.140625" defaultRowHeight="12.75"/>
  <cols>
    <col min="1" max="1" width="5.7109375" customWidth="1"/>
    <col min="2" max="3" width="10.85546875" customWidth="1"/>
    <col min="4" max="4" width="15.5703125" customWidth="1"/>
    <col min="5" max="5" width="9" customWidth="1"/>
    <col min="6" max="6" width="6.7109375" customWidth="1"/>
    <col min="7" max="7" width="11" bestFit="1" customWidth="1"/>
    <col min="8" max="8" width="7.7109375" customWidth="1"/>
    <col min="9" max="9" width="18.7109375" bestFit="1" customWidth="1"/>
    <col min="10" max="10" width="12.28515625" customWidth="1"/>
  </cols>
  <sheetData>
    <row r="1" spans="1:10" s="335" customFormat="1" ht="19.5" customHeight="1">
      <c r="B1" s="352" t="s">
        <v>1262</v>
      </c>
    </row>
    <row r="2" spans="1:10" s="335" customFormat="1" ht="21.75" customHeight="1">
      <c r="A2" s="803" t="s">
        <v>0</v>
      </c>
      <c r="B2" s="803" t="s">
        <v>1241</v>
      </c>
      <c r="C2" s="803" t="s">
        <v>1</v>
      </c>
      <c r="D2" s="803" t="s">
        <v>21</v>
      </c>
      <c r="E2" s="803" t="s">
        <v>83</v>
      </c>
      <c r="F2" s="803" t="s">
        <v>1244</v>
      </c>
      <c r="G2" s="803" t="s">
        <v>7</v>
      </c>
      <c r="H2" s="803" t="s">
        <v>8</v>
      </c>
      <c r="I2" s="803" t="s">
        <v>9</v>
      </c>
      <c r="J2" s="803" t="s">
        <v>82</v>
      </c>
    </row>
    <row r="3" spans="1:10" s="335" customFormat="1" ht="15" customHeight="1">
      <c r="A3" s="803"/>
      <c r="B3" s="803"/>
      <c r="C3" s="803"/>
      <c r="D3" s="803"/>
      <c r="E3" s="803"/>
      <c r="F3" s="803"/>
      <c r="G3" s="803"/>
      <c r="H3" s="803"/>
      <c r="I3" s="803"/>
      <c r="J3" s="803"/>
    </row>
    <row r="4" spans="1:10" s="335" customFormat="1" ht="15" customHeight="1">
      <c r="A4" s="765">
        <v>1</v>
      </c>
      <c r="B4" s="355">
        <v>43164</v>
      </c>
      <c r="C4" s="513"/>
      <c r="D4" s="253" t="s">
        <v>1243</v>
      </c>
      <c r="E4" s="762"/>
      <c r="F4" s="310"/>
      <c r="G4" s="758">
        <v>13440</v>
      </c>
      <c r="H4" s="310">
        <v>41000</v>
      </c>
      <c r="I4" s="767">
        <f>G4*H4</f>
        <v>551040000</v>
      </c>
      <c r="J4" s="760"/>
    </row>
    <row r="5" spans="1:10" s="335" customFormat="1" ht="15" customHeight="1">
      <c r="A5" s="489">
        <v>2</v>
      </c>
      <c r="B5" s="355">
        <v>43172</v>
      </c>
      <c r="C5" s="513"/>
      <c r="D5" s="253" t="s">
        <v>1242</v>
      </c>
      <c r="E5" s="310"/>
      <c r="F5" s="310"/>
      <c r="G5" s="758">
        <v>7982</v>
      </c>
      <c r="H5" s="310">
        <v>48500</v>
      </c>
      <c r="I5" s="768">
        <f t="shared" ref="I5:I22" si="0">G5*H5</f>
        <v>387127000</v>
      </c>
      <c r="J5" s="253"/>
    </row>
    <row r="6" spans="1:10" s="335" customFormat="1" ht="15" customHeight="1">
      <c r="A6" s="489">
        <v>3</v>
      </c>
      <c r="B6" s="355"/>
      <c r="C6" s="355"/>
      <c r="D6" s="253"/>
      <c r="E6" s="310"/>
      <c r="F6" s="310"/>
      <c r="G6" s="758">
        <f t="shared" ref="G6:G23" si="1">E6*F6</f>
        <v>0</v>
      </c>
      <c r="H6" s="310"/>
      <c r="I6" s="768">
        <f t="shared" si="0"/>
        <v>0</v>
      </c>
      <c r="J6" s="253"/>
    </row>
    <row r="7" spans="1:10" s="335" customFormat="1" ht="15" customHeight="1">
      <c r="A7" s="489">
        <v>4</v>
      </c>
      <c r="B7" s="355"/>
      <c r="C7" s="355"/>
      <c r="D7" s="253"/>
      <c r="E7" s="310"/>
      <c r="F7" s="310"/>
      <c r="G7" s="758">
        <f t="shared" si="1"/>
        <v>0</v>
      </c>
      <c r="H7" s="310"/>
      <c r="I7" s="768">
        <f t="shared" si="0"/>
        <v>0</v>
      </c>
      <c r="J7" s="253"/>
    </row>
    <row r="8" spans="1:10" s="335" customFormat="1" ht="15" customHeight="1">
      <c r="A8" s="489">
        <v>5</v>
      </c>
      <c r="B8" s="355"/>
      <c r="C8" s="355"/>
      <c r="D8" s="253"/>
      <c r="E8" s="310"/>
      <c r="F8" s="310"/>
      <c r="G8" s="758">
        <f t="shared" si="1"/>
        <v>0</v>
      </c>
      <c r="H8" s="310"/>
      <c r="I8" s="768">
        <f t="shared" si="0"/>
        <v>0</v>
      </c>
      <c r="J8" s="253"/>
    </row>
    <row r="9" spans="1:10" s="335" customFormat="1" ht="15" customHeight="1">
      <c r="A9" s="489">
        <v>6</v>
      </c>
      <c r="B9" s="355"/>
      <c r="C9" s="355"/>
      <c r="D9" s="253"/>
      <c r="E9" s="310"/>
      <c r="F9" s="310"/>
      <c r="G9" s="758">
        <f t="shared" si="1"/>
        <v>0</v>
      </c>
      <c r="H9" s="310"/>
      <c r="I9" s="768">
        <f t="shared" si="0"/>
        <v>0</v>
      </c>
      <c r="J9" s="253"/>
    </row>
    <row r="10" spans="1:10" s="335" customFormat="1" ht="15" customHeight="1">
      <c r="A10" s="489">
        <v>7</v>
      </c>
      <c r="B10" s="355"/>
      <c r="C10" s="355"/>
      <c r="D10" s="253"/>
      <c r="E10" s="310"/>
      <c r="F10" s="310"/>
      <c r="G10" s="758">
        <f t="shared" si="1"/>
        <v>0</v>
      </c>
      <c r="H10" s="310"/>
      <c r="I10" s="768">
        <f t="shared" si="0"/>
        <v>0</v>
      </c>
      <c r="J10" s="253"/>
    </row>
    <row r="11" spans="1:10" s="335" customFormat="1" ht="15" customHeight="1">
      <c r="A11" s="489">
        <v>8</v>
      </c>
      <c r="B11" s="355"/>
      <c r="C11" s="355"/>
      <c r="D11" s="253"/>
      <c r="E11" s="310"/>
      <c r="F11" s="310"/>
      <c r="G11" s="758">
        <f t="shared" si="1"/>
        <v>0</v>
      </c>
      <c r="H11" s="310"/>
      <c r="I11" s="768">
        <f t="shared" si="0"/>
        <v>0</v>
      </c>
      <c r="J11" s="253"/>
    </row>
    <row r="12" spans="1:10" s="335" customFormat="1" ht="15" customHeight="1">
      <c r="A12" s="489">
        <v>9</v>
      </c>
      <c r="B12" s="355"/>
      <c r="C12" s="355"/>
      <c r="D12" s="253"/>
      <c r="E12" s="310"/>
      <c r="F12" s="310"/>
      <c r="G12" s="758">
        <f t="shared" si="1"/>
        <v>0</v>
      </c>
      <c r="H12" s="310"/>
      <c r="I12" s="768">
        <f t="shared" si="0"/>
        <v>0</v>
      </c>
      <c r="J12" s="253"/>
    </row>
    <row r="13" spans="1:10" s="335" customFormat="1" ht="15" customHeight="1">
      <c r="A13" s="489">
        <v>10</v>
      </c>
      <c r="B13" s="355"/>
      <c r="C13" s="355"/>
      <c r="D13" s="253"/>
      <c r="E13" s="310"/>
      <c r="F13" s="310"/>
      <c r="G13" s="758">
        <f t="shared" si="1"/>
        <v>0</v>
      </c>
      <c r="H13" s="310"/>
      <c r="I13" s="768">
        <f t="shared" si="0"/>
        <v>0</v>
      </c>
      <c r="J13" s="253"/>
    </row>
    <row r="14" spans="1:10" s="335" customFormat="1" ht="15" customHeight="1">
      <c r="A14" s="489">
        <v>11</v>
      </c>
      <c r="B14" s="355"/>
      <c r="C14" s="355"/>
      <c r="D14" s="253"/>
      <c r="E14" s="310"/>
      <c r="F14" s="310"/>
      <c r="G14" s="758">
        <f t="shared" si="1"/>
        <v>0</v>
      </c>
      <c r="H14" s="310"/>
      <c r="I14" s="768">
        <f t="shared" si="0"/>
        <v>0</v>
      </c>
      <c r="J14" s="253"/>
    </row>
    <row r="15" spans="1:10" s="335" customFormat="1" ht="15" customHeight="1">
      <c r="A15" s="489">
        <v>12</v>
      </c>
      <c r="B15" s="355"/>
      <c r="C15" s="355"/>
      <c r="D15" s="253"/>
      <c r="E15" s="310"/>
      <c r="F15" s="310"/>
      <c r="G15" s="758">
        <f t="shared" si="1"/>
        <v>0</v>
      </c>
      <c r="H15" s="310"/>
      <c r="I15" s="768">
        <f t="shared" si="0"/>
        <v>0</v>
      </c>
      <c r="J15" s="253"/>
    </row>
    <row r="16" spans="1:10" s="335" customFormat="1" ht="15" customHeight="1">
      <c r="A16" s="489">
        <v>13</v>
      </c>
      <c r="B16" s="355"/>
      <c r="C16" s="355"/>
      <c r="D16" s="253"/>
      <c r="E16" s="310"/>
      <c r="F16" s="310"/>
      <c r="G16" s="758">
        <f t="shared" si="1"/>
        <v>0</v>
      </c>
      <c r="H16" s="310"/>
      <c r="I16" s="768">
        <f t="shared" si="0"/>
        <v>0</v>
      </c>
      <c r="J16" s="253"/>
    </row>
    <row r="17" spans="1:10" s="335" customFormat="1" ht="15" customHeight="1">
      <c r="A17" s="489"/>
      <c r="B17" s="355"/>
      <c r="C17" s="355"/>
      <c r="D17" s="253"/>
      <c r="E17" s="310"/>
      <c r="F17" s="310"/>
      <c r="G17" s="758">
        <f t="shared" si="1"/>
        <v>0</v>
      </c>
      <c r="H17" s="310"/>
      <c r="I17" s="768">
        <f t="shared" si="0"/>
        <v>0</v>
      </c>
      <c r="J17" s="253"/>
    </row>
    <row r="18" spans="1:10" s="335" customFormat="1" ht="15" customHeight="1">
      <c r="A18" s="489"/>
      <c r="B18" s="355"/>
      <c r="C18" s="355"/>
      <c r="D18" s="253"/>
      <c r="E18" s="310"/>
      <c r="F18" s="310"/>
      <c r="G18" s="758">
        <f t="shared" si="1"/>
        <v>0</v>
      </c>
      <c r="H18" s="310"/>
      <c r="I18" s="768">
        <f t="shared" si="0"/>
        <v>0</v>
      </c>
      <c r="J18" s="253"/>
    </row>
    <row r="19" spans="1:10" s="335" customFormat="1" ht="15" customHeight="1">
      <c r="A19" s="489"/>
      <c r="B19" s="355"/>
      <c r="C19" s="355"/>
      <c r="D19" s="253"/>
      <c r="E19" s="310"/>
      <c r="F19" s="310"/>
      <c r="G19" s="758">
        <f t="shared" si="1"/>
        <v>0</v>
      </c>
      <c r="H19" s="310"/>
      <c r="I19" s="768">
        <f t="shared" si="0"/>
        <v>0</v>
      </c>
      <c r="J19" s="253"/>
    </row>
    <row r="20" spans="1:10" s="335" customFormat="1" ht="15" customHeight="1">
      <c r="A20" s="489"/>
      <c r="B20" s="355"/>
      <c r="C20" s="355"/>
      <c r="D20" s="253"/>
      <c r="E20" s="310"/>
      <c r="F20" s="310"/>
      <c r="G20" s="758">
        <f t="shared" si="1"/>
        <v>0</v>
      </c>
      <c r="H20" s="310"/>
      <c r="I20" s="768">
        <f t="shared" si="0"/>
        <v>0</v>
      </c>
      <c r="J20" s="253"/>
    </row>
    <row r="21" spans="1:10" s="335" customFormat="1" ht="15" customHeight="1">
      <c r="A21" s="489"/>
      <c r="B21" s="355"/>
      <c r="C21" s="355"/>
      <c r="D21" s="253"/>
      <c r="E21" s="310"/>
      <c r="F21" s="310"/>
      <c r="G21" s="758">
        <f t="shared" si="1"/>
        <v>0</v>
      </c>
      <c r="H21" s="310"/>
      <c r="I21" s="768">
        <f t="shared" si="0"/>
        <v>0</v>
      </c>
      <c r="J21" s="253"/>
    </row>
    <row r="22" spans="1:10" s="335" customFormat="1" ht="15" customHeight="1">
      <c r="A22" s="489"/>
      <c r="B22" s="355"/>
      <c r="C22" s="355"/>
      <c r="D22" s="253"/>
      <c r="E22" s="310"/>
      <c r="F22" s="310"/>
      <c r="G22" s="758">
        <f t="shared" si="1"/>
        <v>0</v>
      </c>
      <c r="H22" s="310"/>
      <c r="I22" s="768">
        <f t="shared" si="0"/>
        <v>0</v>
      </c>
      <c r="J22" s="253"/>
    </row>
    <row r="23" spans="1:10" s="335" customFormat="1" ht="4.5" customHeight="1">
      <c r="A23" s="359"/>
      <c r="B23" s="355"/>
      <c r="C23" s="724"/>
      <c r="D23" s="761"/>
      <c r="E23" s="763"/>
      <c r="F23" s="763"/>
      <c r="G23" s="758">
        <f t="shared" si="1"/>
        <v>0</v>
      </c>
      <c r="H23" s="763"/>
      <c r="I23" s="761"/>
      <c r="J23" s="761"/>
    </row>
    <row r="24" spans="1:10" s="335" customFormat="1" ht="15">
      <c r="A24" s="766"/>
      <c r="B24" s="759"/>
      <c r="C24" s="759"/>
      <c r="D24" s="414" t="s">
        <v>19</v>
      </c>
      <c r="E24" s="413">
        <f>SUM(E4:E23)</f>
        <v>0</v>
      </c>
      <c r="F24" s="413"/>
      <c r="G24" s="764">
        <f>SUM(G4:G23)</f>
        <v>21422</v>
      </c>
      <c r="H24" s="764"/>
      <c r="I24" s="413">
        <f t="shared" ref="I24" si="2">SUM(I4:I23)</f>
        <v>938167000</v>
      </c>
      <c r="J24" s="759"/>
    </row>
    <row r="25" spans="1:10" s="335" customFormat="1" ht="6.75" customHeight="1"/>
    <row r="26" spans="1:10" s="335" customFormat="1" ht="15">
      <c r="E26" s="689" t="s">
        <v>1263</v>
      </c>
      <c r="F26" s="560"/>
      <c r="G26" s="560"/>
      <c r="H26" s="560"/>
      <c r="I26" s="688">
        <v>300000000</v>
      </c>
    </row>
    <row r="27" spans="1:10" s="335" customFormat="1" ht="15">
      <c r="E27" s="689"/>
      <c r="F27" s="560"/>
      <c r="G27" s="560"/>
      <c r="H27" s="560"/>
      <c r="I27" s="688"/>
    </row>
    <row r="28" spans="1:10" s="335" customFormat="1" ht="15">
      <c r="E28" s="689"/>
      <c r="F28" s="560"/>
      <c r="G28" s="560"/>
      <c r="H28" s="560"/>
      <c r="I28" s="688"/>
    </row>
    <row r="29" spans="1:10" s="335" customFormat="1" ht="15">
      <c r="E29" s="689"/>
      <c r="F29" s="560"/>
      <c r="G29" s="560"/>
      <c r="H29" s="560"/>
      <c r="I29" s="688"/>
    </row>
    <row r="30" spans="1:10" s="335" customFormat="1" ht="15">
      <c r="E30" s="689"/>
      <c r="F30" s="560"/>
      <c r="G30" s="560"/>
      <c r="H30" s="560"/>
      <c r="I30" s="688"/>
    </row>
    <row r="31" spans="1:10" s="335" customFormat="1" ht="3" customHeight="1"/>
    <row r="32" spans="1:10" s="335" customFormat="1" ht="15">
      <c r="E32" s="560" t="s">
        <v>900</v>
      </c>
      <c r="F32" s="560"/>
      <c r="G32" s="560"/>
      <c r="H32" s="560"/>
      <c r="I32" s="769">
        <f>SUM(I26:I31)</f>
        <v>300000000</v>
      </c>
    </row>
    <row r="33" spans="2:9" s="682" customFormat="1" ht="14.25">
      <c r="E33" s="560"/>
      <c r="F33" s="560"/>
      <c r="G33" s="560"/>
      <c r="H33" s="560"/>
      <c r="I33" s="784"/>
    </row>
    <row r="34" spans="2:9" s="682" customFormat="1" ht="14.25">
      <c r="B34" s="687"/>
      <c r="C34" s="687"/>
      <c r="D34" s="687"/>
      <c r="E34" s="560" t="s">
        <v>1264</v>
      </c>
      <c r="F34"/>
      <c r="G34"/>
      <c r="H34"/>
      <c r="I34" s="784">
        <f>I24-I32</f>
        <v>638167000</v>
      </c>
    </row>
    <row r="35" spans="2:9" s="682" customFormat="1" ht="14.25">
      <c r="B35" s="687"/>
      <c r="C35" s="687"/>
      <c r="D35"/>
      <c r="E35"/>
      <c r="F35"/>
      <c r="G35"/>
      <c r="H35"/>
      <c r="I35" s="785"/>
    </row>
    <row r="36" spans="2:9" s="682" customFormat="1" ht="14.25">
      <c r="B36" s="687"/>
      <c r="C36" s="687"/>
      <c r="D36"/>
      <c r="E36"/>
      <c r="F36"/>
      <c r="G36"/>
      <c r="H36"/>
      <c r="I36" s="785"/>
    </row>
    <row r="37" spans="2:9" ht="3" customHeight="1">
      <c r="I37" s="786"/>
    </row>
    <row r="38" spans="2:9" ht="14.25" customHeight="1">
      <c r="E38" s="560"/>
      <c r="I38" s="784"/>
    </row>
    <row r="39" spans="2:9">
      <c r="I39" s="786"/>
    </row>
    <row r="43" spans="2:9" ht="3.75" customHeight="1"/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left="0.16" right="0.16" top="0.27" bottom="0.16" header="0.16" footer="0"/>
  <pageSetup paperSize="9" scale="9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75"/>
  <sheetViews>
    <sheetView zoomScale="90" zoomScaleNormal="90" workbookViewId="0">
      <pane xSplit="5" ySplit="3" topLeftCell="F52" activePane="bottomRight" state="frozen"/>
      <selection activeCell="C243" sqref="C243"/>
      <selection pane="topRight" activeCell="C243" sqref="C243"/>
      <selection pane="bottomLeft" activeCell="C243" sqref="C243"/>
      <selection pane="bottomRight" activeCell="G61" sqref="G61"/>
    </sheetView>
  </sheetViews>
  <sheetFormatPr defaultColWidth="10.7109375" defaultRowHeight="18" customHeight="1"/>
  <cols>
    <col min="1" max="1" width="8" style="236" customWidth="1"/>
    <col min="2" max="2" width="9.7109375" style="236" customWidth="1"/>
    <col min="3" max="3" width="33.85546875" style="236" hidden="1" customWidth="1"/>
    <col min="4" max="4" width="13.85546875" style="236" hidden="1" customWidth="1"/>
    <col min="5" max="5" width="12.85546875" style="236" hidden="1" customWidth="1"/>
    <col min="6" max="6" width="9" style="236" customWidth="1"/>
    <col min="7" max="7" width="9.85546875" style="236" customWidth="1"/>
    <col min="8" max="8" width="8" style="236" customWidth="1"/>
    <col min="9" max="9" width="14.5703125" style="236" customWidth="1"/>
    <col min="10" max="11" width="14.28515625" style="236" hidden="1" customWidth="1"/>
    <col min="12" max="12" width="9.5703125" style="236" customWidth="1"/>
    <col min="13" max="13" width="9" style="236" customWidth="1"/>
    <col min="14" max="14" width="14" style="236" customWidth="1"/>
    <col min="15" max="15" width="8" style="236" customWidth="1"/>
    <col min="16" max="16" width="15" style="236" customWidth="1"/>
    <col min="17" max="17" width="26.85546875" style="236" hidden="1" customWidth="1"/>
    <col min="18" max="18" width="11.5703125" style="236" hidden="1" customWidth="1"/>
    <col min="19" max="19" width="14.85546875" style="236" hidden="1" customWidth="1"/>
    <col min="20" max="20" width="18" style="236" customWidth="1"/>
    <col min="21" max="21" width="6" customWidth="1"/>
  </cols>
  <sheetData>
    <row r="1" spans="1:20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</row>
    <row r="2" spans="1:20" ht="19.5" customHeight="1">
      <c r="A2" s="849" t="s">
        <v>1234</v>
      </c>
      <c r="B2" s="849" t="s">
        <v>1</v>
      </c>
      <c r="C2" s="852" t="s">
        <v>2</v>
      </c>
      <c r="D2" s="852"/>
      <c r="E2" s="852"/>
      <c r="F2" s="852" t="s">
        <v>464</v>
      </c>
      <c r="G2" s="852"/>
      <c r="H2" s="852"/>
      <c r="I2" s="852"/>
      <c r="J2" s="850" t="s">
        <v>452</v>
      </c>
      <c r="K2" s="850" t="s">
        <v>893</v>
      </c>
      <c r="L2" s="852" t="s">
        <v>3</v>
      </c>
      <c r="M2" s="852"/>
      <c r="N2" s="852"/>
      <c r="O2" s="852"/>
      <c r="P2" s="852"/>
      <c r="Q2" s="849" t="s">
        <v>451</v>
      </c>
      <c r="R2" s="849"/>
      <c r="S2" s="849"/>
      <c r="T2" s="850" t="s">
        <v>82</v>
      </c>
    </row>
    <row r="3" spans="1:20" ht="42" customHeight="1">
      <c r="A3" s="849"/>
      <c r="B3" s="849" t="s">
        <v>1</v>
      </c>
      <c r="C3" s="542" t="s">
        <v>4</v>
      </c>
      <c r="D3" s="542" t="s">
        <v>5</v>
      </c>
      <c r="E3" s="542" t="s">
        <v>6</v>
      </c>
      <c r="F3" s="542" t="s">
        <v>83</v>
      </c>
      <c r="G3" s="542" t="s">
        <v>7</v>
      </c>
      <c r="H3" s="542" t="s">
        <v>453</v>
      </c>
      <c r="I3" s="542" t="s">
        <v>411</v>
      </c>
      <c r="J3" s="851"/>
      <c r="K3" s="851"/>
      <c r="L3" s="542" t="s">
        <v>455</v>
      </c>
      <c r="M3" s="542" t="s">
        <v>456</v>
      </c>
      <c r="N3" s="542" t="s">
        <v>457</v>
      </c>
      <c r="O3" s="542" t="s">
        <v>51</v>
      </c>
      <c r="P3" s="542" t="s">
        <v>458</v>
      </c>
      <c r="Q3" s="542" t="s">
        <v>460</v>
      </c>
      <c r="R3" s="542" t="s">
        <v>461</v>
      </c>
      <c r="S3" s="542" t="s">
        <v>462</v>
      </c>
      <c r="T3" s="851"/>
    </row>
    <row r="4" spans="1:20" ht="18.75" customHeight="1">
      <c r="A4" s="144">
        <v>1</v>
      </c>
      <c r="B4" s="545">
        <v>42962</v>
      </c>
      <c r="C4" s="243"/>
      <c r="D4" s="243"/>
      <c r="E4" s="243"/>
      <c r="F4" s="539">
        <v>2030</v>
      </c>
      <c r="G4" s="539">
        <f t="shared" ref="G4:G68" si="0">F4*13</f>
        <v>26390</v>
      </c>
      <c r="H4" s="544">
        <v>2.2000000000000002</v>
      </c>
      <c r="I4" s="543">
        <f t="shared" ref="I4:I68" si="1">G4*H4</f>
        <v>58058.000000000007</v>
      </c>
      <c r="J4" s="310">
        <f>71000000</f>
        <v>71000000</v>
      </c>
      <c r="K4" s="310">
        <v>2880000</v>
      </c>
      <c r="L4" s="308">
        <v>42989</v>
      </c>
      <c r="M4" s="309">
        <f>I4-N4</f>
        <v>56.500000000007276</v>
      </c>
      <c r="N4" s="309">
        <v>58001.5</v>
      </c>
      <c r="O4" s="310">
        <v>22690</v>
      </c>
      <c r="P4" s="310">
        <f>N4*O4</f>
        <v>1316054035</v>
      </c>
      <c r="Q4" s="256" t="s">
        <v>394</v>
      </c>
      <c r="R4" s="254"/>
      <c r="S4" s="255">
        <v>716994000</v>
      </c>
      <c r="T4" s="343"/>
    </row>
    <row r="5" spans="1:20" ht="18.75" customHeight="1">
      <c r="A5" s="144">
        <v>2</v>
      </c>
      <c r="B5" s="545">
        <v>42964</v>
      </c>
      <c r="C5" s="243"/>
      <c r="D5" s="243"/>
      <c r="E5" s="243"/>
      <c r="F5" s="539">
        <v>2030</v>
      </c>
      <c r="G5" s="539">
        <f t="shared" si="0"/>
        <v>26390</v>
      </c>
      <c r="H5" s="544">
        <v>2.2000000000000002</v>
      </c>
      <c r="I5" s="543">
        <f t="shared" si="1"/>
        <v>58058.000000000007</v>
      </c>
      <c r="J5" s="310">
        <f t="shared" ref="J5:J26" si="2">71000000</f>
        <v>71000000</v>
      </c>
      <c r="K5" s="310">
        <v>2880000</v>
      </c>
      <c r="L5" s="843">
        <v>43001</v>
      </c>
      <c r="M5" s="830">
        <v>56.5</v>
      </c>
      <c r="N5" s="830">
        <f>SUM(I5:I7)-M5</f>
        <v>174117.50000000003</v>
      </c>
      <c r="O5" s="821">
        <v>22690</v>
      </c>
      <c r="P5" s="821">
        <f>N5*O5</f>
        <v>3950726075.0000005</v>
      </c>
      <c r="Q5" s="256" t="s">
        <v>922</v>
      </c>
      <c r="R5" s="254">
        <v>597575</v>
      </c>
      <c r="S5" s="255">
        <v>1086500000</v>
      </c>
      <c r="T5" s="144"/>
    </row>
    <row r="6" spans="1:20" ht="18.75" customHeight="1">
      <c r="A6" s="144">
        <v>3</v>
      </c>
      <c r="B6" s="545">
        <v>42965</v>
      </c>
      <c r="C6" s="243"/>
      <c r="D6" s="243"/>
      <c r="E6" s="243"/>
      <c r="F6" s="539">
        <v>2030</v>
      </c>
      <c r="G6" s="539">
        <f t="shared" si="0"/>
        <v>26390</v>
      </c>
      <c r="H6" s="544">
        <v>2.2000000000000002</v>
      </c>
      <c r="I6" s="543">
        <f t="shared" si="1"/>
        <v>58058.000000000007</v>
      </c>
      <c r="J6" s="310">
        <f t="shared" si="2"/>
        <v>71000000</v>
      </c>
      <c r="K6" s="310">
        <v>2880000</v>
      </c>
      <c r="L6" s="844"/>
      <c r="M6" s="842"/>
      <c r="N6" s="842"/>
      <c r="O6" s="822"/>
      <c r="P6" s="822"/>
      <c r="Q6" s="256" t="s">
        <v>923</v>
      </c>
      <c r="R6" s="254">
        <v>686950</v>
      </c>
      <c r="S6" s="255">
        <v>1249000000</v>
      </c>
      <c r="T6" s="144"/>
    </row>
    <row r="7" spans="1:20" ht="18.75" customHeight="1">
      <c r="A7" s="144">
        <v>4</v>
      </c>
      <c r="B7" s="545">
        <v>42971</v>
      </c>
      <c r="C7" s="243"/>
      <c r="D7" s="243"/>
      <c r="E7" s="243"/>
      <c r="F7" s="539">
        <v>2030</v>
      </c>
      <c r="G7" s="539">
        <f t="shared" si="0"/>
        <v>26390</v>
      </c>
      <c r="H7" s="544">
        <v>2.2000000000000002</v>
      </c>
      <c r="I7" s="543">
        <f t="shared" si="1"/>
        <v>58058.000000000007</v>
      </c>
      <c r="J7" s="310">
        <f t="shared" si="2"/>
        <v>71000000</v>
      </c>
      <c r="K7" s="310">
        <v>2880000</v>
      </c>
      <c r="L7" s="845"/>
      <c r="M7" s="831"/>
      <c r="N7" s="831"/>
      <c r="O7" s="823"/>
      <c r="P7" s="823"/>
      <c r="Q7" s="256" t="s">
        <v>924</v>
      </c>
      <c r="R7" s="254">
        <v>330000</v>
      </c>
      <c r="S7" s="255">
        <v>1000000000</v>
      </c>
      <c r="T7" s="343"/>
    </row>
    <row r="8" spans="1:20" ht="18" customHeight="1">
      <c r="A8" s="144">
        <v>6</v>
      </c>
      <c r="B8" s="551">
        <v>42986</v>
      </c>
      <c r="C8" s="243"/>
      <c r="D8" s="243"/>
      <c r="E8" s="243"/>
      <c r="F8" s="549">
        <v>2030</v>
      </c>
      <c r="G8" s="549">
        <f t="shared" si="0"/>
        <v>26390</v>
      </c>
      <c r="H8" s="830">
        <v>2.2000000000000002</v>
      </c>
      <c r="I8" s="830">
        <f>SUM(G8:G10)*H8</f>
        <v>174174</v>
      </c>
      <c r="J8" s="821">
        <f>71000000*3</f>
        <v>213000000</v>
      </c>
      <c r="K8" s="821">
        <f>2880000*3</f>
        <v>8640000</v>
      </c>
      <c r="L8" s="843">
        <v>43004</v>
      </c>
      <c r="M8" s="830">
        <v>56.5</v>
      </c>
      <c r="N8" s="830">
        <f>SUM(I8:I10)-M8</f>
        <v>174117.5</v>
      </c>
      <c r="O8" s="821">
        <v>22690</v>
      </c>
      <c r="P8" s="821">
        <f>N8*O8</f>
        <v>3950726075</v>
      </c>
      <c r="Q8" s="256" t="s">
        <v>924</v>
      </c>
      <c r="R8" s="540">
        <v>488617.8</v>
      </c>
      <c r="S8" s="540">
        <v>1480660000</v>
      </c>
      <c r="T8" s="144"/>
    </row>
    <row r="9" spans="1:20" ht="18" customHeight="1">
      <c r="A9" s="144">
        <v>7</v>
      </c>
      <c r="B9" s="551">
        <v>42986</v>
      </c>
      <c r="C9" s="243"/>
      <c r="D9" s="243"/>
      <c r="E9" s="243"/>
      <c r="F9" s="549">
        <v>2030</v>
      </c>
      <c r="G9" s="549">
        <f t="shared" si="0"/>
        <v>26390</v>
      </c>
      <c r="H9" s="842"/>
      <c r="I9" s="842"/>
      <c r="J9" s="822"/>
      <c r="K9" s="822"/>
      <c r="L9" s="844"/>
      <c r="M9" s="842"/>
      <c r="N9" s="842"/>
      <c r="O9" s="822"/>
      <c r="P9" s="822"/>
      <c r="Q9" s="256" t="s">
        <v>406</v>
      </c>
      <c r="R9" s="254">
        <v>550000</v>
      </c>
      <c r="S9" s="255">
        <v>1265340000</v>
      </c>
      <c r="T9" s="144"/>
    </row>
    <row r="10" spans="1:20" ht="18" customHeight="1">
      <c r="A10" s="144">
        <v>8</v>
      </c>
      <c r="B10" s="551">
        <v>42986</v>
      </c>
      <c r="C10" s="243"/>
      <c r="D10" s="243"/>
      <c r="E10" s="243"/>
      <c r="F10" s="549">
        <v>2030</v>
      </c>
      <c r="G10" s="549">
        <f t="shared" si="0"/>
        <v>26390</v>
      </c>
      <c r="H10" s="831"/>
      <c r="I10" s="831"/>
      <c r="J10" s="823"/>
      <c r="K10" s="823"/>
      <c r="L10" s="845"/>
      <c r="M10" s="831"/>
      <c r="N10" s="831"/>
      <c r="O10" s="823"/>
      <c r="P10" s="823"/>
      <c r="Q10" s="256" t="s">
        <v>394</v>
      </c>
      <c r="R10" s="254">
        <v>511830</v>
      </c>
      <c r="S10" s="255">
        <v>930600000</v>
      </c>
      <c r="T10" s="144"/>
    </row>
    <row r="11" spans="1:20" ht="18.75" customHeight="1">
      <c r="A11" s="144">
        <v>9</v>
      </c>
      <c r="B11" s="545">
        <v>42990</v>
      </c>
      <c r="C11" s="243"/>
      <c r="D11" s="243"/>
      <c r="E11" s="243"/>
      <c r="F11" s="549">
        <v>2030</v>
      </c>
      <c r="G11" s="549">
        <f t="shared" ref="G11:G13" si="3">F11*13</f>
        <v>26390</v>
      </c>
      <c r="H11" s="830">
        <v>2.2000000000000002</v>
      </c>
      <c r="I11" s="830">
        <f>SUM(G11:G13)*H11</f>
        <v>174174</v>
      </c>
      <c r="J11" s="821">
        <f>68000000*1+71000000*2</f>
        <v>210000000</v>
      </c>
      <c r="K11" s="821">
        <f>2880000*3</f>
        <v>8640000</v>
      </c>
      <c r="L11" s="843">
        <v>43012</v>
      </c>
      <c r="M11" s="830">
        <v>56.5</v>
      </c>
      <c r="N11" s="830">
        <f>SUM(I11:I13)-M11</f>
        <v>174117.5</v>
      </c>
      <c r="O11" s="821">
        <v>22690</v>
      </c>
      <c r="P11" s="821">
        <f>N11*O11</f>
        <v>3950726075</v>
      </c>
      <c r="Q11" s="253"/>
      <c r="R11" s="254"/>
      <c r="S11" s="255"/>
      <c r="T11" s="144"/>
    </row>
    <row r="12" spans="1:20" ht="18.75" customHeight="1">
      <c r="A12" s="144">
        <v>10</v>
      </c>
      <c r="B12" s="551">
        <v>42990</v>
      </c>
      <c r="C12" s="243"/>
      <c r="D12" s="243"/>
      <c r="E12" s="243"/>
      <c r="F12" s="549">
        <v>2030</v>
      </c>
      <c r="G12" s="549">
        <f t="shared" si="3"/>
        <v>26390</v>
      </c>
      <c r="H12" s="842"/>
      <c r="I12" s="842"/>
      <c r="J12" s="822"/>
      <c r="K12" s="822"/>
      <c r="L12" s="844"/>
      <c r="M12" s="842"/>
      <c r="N12" s="842"/>
      <c r="O12" s="822"/>
      <c r="P12" s="822"/>
      <c r="Q12" s="253"/>
      <c r="R12" s="254"/>
      <c r="S12" s="255"/>
      <c r="T12" s="144"/>
    </row>
    <row r="13" spans="1:20" ht="18.75" customHeight="1">
      <c r="A13" s="144">
        <v>11</v>
      </c>
      <c r="B13" s="551">
        <v>42990</v>
      </c>
      <c r="C13" s="243"/>
      <c r="D13" s="243"/>
      <c r="E13" s="243"/>
      <c r="F13" s="549">
        <v>2030</v>
      </c>
      <c r="G13" s="549">
        <f t="shared" si="3"/>
        <v>26390</v>
      </c>
      <c r="H13" s="831"/>
      <c r="I13" s="831"/>
      <c r="J13" s="823"/>
      <c r="K13" s="823"/>
      <c r="L13" s="845"/>
      <c r="M13" s="831"/>
      <c r="N13" s="831"/>
      <c r="O13" s="823"/>
      <c r="P13" s="823"/>
      <c r="Q13" s="253"/>
      <c r="R13" s="254"/>
      <c r="S13" s="255"/>
      <c r="T13" s="144"/>
    </row>
    <row r="14" spans="1:20" ht="18.75" customHeight="1">
      <c r="A14" s="144">
        <v>12</v>
      </c>
      <c r="B14" s="545">
        <v>42992</v>
      </c>
      <c r="C14" s="243"/>
      <c r="D14" s="243"/>
      <c r="E14" s="243"/>
      <c r="F14" s="553">
        <v>2030</v>
      </c>
      <c r="G14" s="549">
        <f t="shared" si="0"/>
        <v>26390</v>
      </c>
      <c r="H14" s="830">
        <v>2.2000000000000002</v>
      </c>
      <c r="I14" s="830">
        <f>SUM(G14:G16)*H14</f>
        <v>174174</v>
      </c>
      <c r="J14" s="821">
        <f t="shared" ref="J14" si="4">68000000*3</f>
        <v>204000000</v>
      </c>
      <c r="K14" s="821">
        <f>2880000*3</f>
        <v>8640000</v>
      </c>
      <c r="L14" s="843">
        <v>43027</v>
      </c>
      <c r="M14" s="830">
        <v>56.5</v>
      </c>
      <c r="N14" s="830">
        <f>SUM(I14:I16)-M14</f>
        <v>174117.5</v>
      </c>
      <c r="O14" s="821">
        <v>22680</v>
      </c>
      <c r="P14" s="821">
        <f>N14*O14</f>
        <v>3948984900</v>
      </c>
      <c r="Q14" s="253"/>
      <c r="R14" s="254"/>
      <c r="S14" s="255"/>
      <c r="T14" s="144"/>
    </row>
    <row r="15" spans="1:20" ht="18" customHeight="1">
      <c r="A15" s="144">
        <v>13</v>
      </c>
      <c r="B15" s="554">
        <v>42992</v>
      </c>
      <c r="C15" s="243"/>
      <c r="D15" s="243"/>
      <c r="E15" s="243"/>
      <c r="F15" s="553">
        <v>2030</v>
      </c>
      <c r="G15" s="539">
        <f t="shared" si="0"/>
        <v>26390</v>
      </c>
      <c r="H15" s="842"/>
      <c r="I15" s="842"/>
      <c r="J15" s="822"/>
      <c r="K15" s="822"/>
      <c r="L15" s="844"/>
      <c r="M15" s="842"/>
      <c r="N15" s="842"/>
      <c r="O15" s="822"/>
      <c r="P15" s="822"/>
      <c r="Q15" s="540"/>
      <c r="R15" s="540"/>
      <c r="S15" s="540"/>
      <c r="T15" s="144"/>
    </row>
    <row r="16" spans="1:20" ht="18" customHeight="1">
      <c r="A16" s="144">
        <v>14</v>
      </c>
      <c r="B16" s="554">
        <v>42992</v>
      </c>
      <c r="C16" s="243"/>
      <c r="D16" s="243"/>
      <c r="E16" s="243"/>
      <c r="F16" s="553">
        <v>2030</v>
      </c>
      <c r="G16" s="539">
        <f t="shared" si="0"/>
        <v>26390</v>
      </c>
      <c r="H16" s="831"/>
      <c r="I16" s="831"/>
      <c r="J16" s="823"/>
      <c r="K16" s="823"/>
      <c r="L16" s="845"/>
      <c r="M16" s="831"/>
      <c r="N16" s="831"/>
      <c r="O16" s="823"/>
      <c r="P16" s="823"/>
      <c r="Q16" s="540"/>
      <c r="R16" s="540"/>
      <c r="S16" s="540"/>
      <c r="T16" s="144"/>
    </row>
    <row r="17" spans="1:20" ht="18" customHeight="1">
      <c r="A17" s="144">
        <v>15</v>
      </c>
      <c r="B17" s="545">
        <v>43000</v>
      </c>
      <c r="C17" s="243"/>
      <c r="D17" s="243"/>
      <c r="E17" s="243"/>
      <c r="F17" s="569">
        <v>2030</v>
      </c>
      <c r="G17" s="539">
        <f t="shared" si="0"/>
        <v>26390</v>
      </c>
      <c r="H17" s="830">
        <v>2.2000000000000002</v>
      </c>
      <c r="I17" s="830">
        <f>SUM(G17:G19)*H17</f>
        <v>174174</v>
      </c>
      <c r="J17" s="821">
        <f t="shared" ref="J17" si="5">68000000*3</f>
        <v>204000000</v>
      </c>
      <c r="K17" s="821">
        <f>2880000*3</f>
        <v>8640000</v>
      </c>
      <c r="L17" s="843">
        <v>43046</v>
      </c>
      <c r="M17" s="830">
        <v>56.5</v>
      </c>
      <c r="N17" s="830">
        <f>SUM(I17:I19)-M17</f>
        <v>174117.5</v>
      </c>
      <c r="O17" s="821">
        <v>22680</v>
      </c>
      <c r="P17" s="821">
        <f>N17*O17</f>
        <v>3948984900</v>
      </c>
      <c r="Q17" s="253"/>
      <c r="R17" s="254"/>
      <c r="S17" s="255"/>
      <c r="T17" s="144"/>
    </row>
    <row r="18" spans="1:20" ht="18" customHeight="1">
      <c r="A18" s="144">
        <v>16</v>
      </c>
      <c r="B18" s="573">
        <v>43000</v>
      </c>
      <c r="C18" s="243"/>
      <c r="D18" s="243"/>
      <c r="E18" s="243"/>
      <c r="F18" s="569">
        <v>2030</v>
      </c>
      <c r="G18" s="539">
        <f t="shared" si="0"/>
        <v>26390</v>
      </c>
      <c r="H18" s="842"/>
      <c r="I18" s="842"/>
      <c r="J18" s="822"/>
      <c r="K18" s="822"/>
      <c r="L18" s="844"/>
      <c r="M18" s="842"/>
      <c r="N18" s="842"/>
      <c r="O18" s="822"/>
      <c r="P18" s="822"/>
      <c r="Q18" s="253"/>
      <c r="R18" s="254"/>
      <c r="S18" s="255"/>
      <c r="T18" s="144"/>
    </row>
    <row r="19" spans="1:20" ht="18.75" customHeight="1">
      <c r="A19" s="144">
        <v>17</v>
      </c>
      <c r="B19" s="573">
        <v>43000</v>
      </c>
      <c r="C19" s="243"/>
      <c r="D19" s="243"/>
      <c r="E19" s="243"/>
      <c r="F19" s="569">
        <v>2030</v>
      </c>
      <c r="G19" s="539">
        <f t="shared" si="0"/>
        <v>26390</v>
      </c>
      <c r="H19" s="831"/>
      <c r="I19" s="831"/>
      <c r="J19" s="823"/>
      <c r="K19" s="823"/>
      <c r="L19" s="845"/>
      <c r="M19" s="831"/>
      <c r="N19" s="831"/>
      <c r="O19" s="823"/>
      <c r="P19" s="823"/>
      <c r="Q19" s="253"/>
      <c r="R19" s="254"/>
      <c r="S19" s="255"/>
      <c r="T19" s="144"/>
    </row>
    <row r="20" spans="1:20" ht="18.75" customHeight="1">
      <c r="A20" s="144">
        <v>18</v>
      </c>
      <c r="B20" s="574">
        <v>43000</v>
      </c>
      <c r="C20" s="243"/>
      <c r="D20" s="243"/>
      <c r="E20" s="243"/>
      <c r="F20" s="569">
        <v>2030</v>
      </c>
      <c r="G20" s="539">
        <f t="shared" si="0"/>
        <v>26390</v>
      </c>
      <c r="H20" s="830">
        <v>2.2000000000000002</v>
      </c>
      <c r="I20" s="830">
        <f>SUM(G20:G22)*H20</f>
        <v>174174</v>
      </c>
      <c r="J20" s="821">
        <f t="shared" ref="J20" si="6">68000000*3</f>
        <v>204000000</v>
      </c>
      <c r="K20" s="821">
        <f>2880000*3</f>
        <v>8640000</v>
      </c>
      <c r="L20" s="843">
        <v>43073</v>
      </c>
      <c r="M20" s="830">
        <v>56.5</v>
      </c>
      <c r="N20" s="830">
        <f>SUM(I20:I22)-M20</f>
        <v>174117.5</v>
      </c>
      <c r="O20" s="821">
        <v>22690</v>
      </c>
      <c r="P20" s="821">
        <f>N20*O20</f>
        <v>3950726075</v>
      </c>
      <c r="Q20" s="253"/>
      <c r="R20" s="254"/>
      <c r="S20" s="255"/>
      <c r="T20" s="144"/>
    </row>
    <row r="21" spans="1:20" ht="18.75" customHeight="1">
      <c r="A21" s="144">
        <v>19</v>
      </c>
      <c r="B21" s="574">
        <v>43000</v>
      </c>
      <c r="C21" s="243"/>
      <c r="D21" s="243"/>
      <c r="E21" s="243"/>
      <c r="F21" s="569">
        <v>2030</v>
      </c>
      <c r="G21" s="539">
        <f t="shared" si="0"/>
        <v>26390</v>
      </c>
      <c r="H21" s="842"/>
      <c r="I21" s="842"/>
      <c r="J21" s="822"/>
      <c r="K21" s="822"/>
      <c r="L21" s="844"/>
      <c r="M21" s="842"/>
      <c r="N21" s="842"/>
      <c r="O21" s="822"/>
      <c r="P21" s="822"/>
      <c r="Q21" s="253"/>
      <c r="R21" s="254"/>
      <c r="S21" s="255"/>
      <c r="T21" s="144"/>
    </row>
    <row r="22" spans="1:20" ht="18.75" customHeight="1">
      <c r="A22" s="144">
        <v>20</v>
      </c>
      <c r="B22" s="574">
        <v>43000</v>
      </c>
      <c r="C22" s="243"/>
      <c r="D22" s="243"/>
      <c r="E22" s="243"/>
      <c r="F22" s="569">
        <v>2030</v>
      </c>
      <c r="G22" s="539">
        <f t="shared" si="0"/>
        <v>26390</v>
      </c>
      <c r="H22" s="831"/>
      <c r="I22" s="831"/>
      <c r="J22" s="823"/>
      <c r="K22" s="823"/>
      <c r="L22" s="845"/>
      <c r="M22" s="831"/>
      <c r="N22" s="831"/>
      <c r="O22" s="823"/>
      <c r="P22" s="823"/>
      <c r="Q22" s="253"/>
      <c r="R22" s="254"/>
      <c r="S22" s="255"/>
      <c r="T22" s="144"/>
    </row>
    <row r="23" spans="1:20" ht="18" customHeight="1">
      <c r="A23" s="144">
        <v>21</v>
      </c>
      <c r="B23" s="545">
        <v>43010</v>
      </c>
      <c r="C23" s="243"/>
      <c r="D23" s="243"/>
      <c r="E23" s="243"/>
      <c r="F23" s="601">
        <v>2030</v>
      </c>
      <c r="G23" s="539">
        <f t="shared" si="0"/>
        <v>26390</v>
      </c>
      <c r="H23" s="830">
        <v>2</v>
      </c>
      <c r="I23" s="830">
        <f>SUM(G23:G25)*H23</f>
        <v>158340</v>
      </c>
      <c r="J23" s="821">
        <f t="shared" ref="J23" si="7">68000000*3</f>
        <v>204000000</v>
      </c>
      <c r="K23" s="821">
        <f>2880000*3</f>
        <v>8640000</v>
      </c>
      <c r="L23" s="843">
        <v>43077</v>
      </c>
      <c r="M23" s="830">
        <v>56.5</v>
      </c>
      <c r="N23" s="830">
        <f>SUM(I23:I25)-M23</f>
        <v>158283.5</v>
      </c>
      <c r="O23" s="821">
        <v>22690</v>
      </c>
      <c r="P23" s="821">
        <f>N23*O23</f>
        <v>3591452615</v>
      </c>
      <c r="Q23" s="540"/>
      <c r="R23" s="540"/>
      <c r="S23" s="540"/>
      <c r="T23" s="144"/>
    </row>
    <row r="24" spans="1:20" ht="18" customHeight="1">
      <c r="A24" s="144">
        <v>22</v>
      </c>
      <c r="B24" s="623">
        <v>43010</v>
      </c>
      <c r="C24" s="243"/>
      <c r="D24" s="243"/>
      <c r="E24" s="243"/>
      <c r="F24" s="601">
        <v>2030</v>
      </c>
      <c r="G24" s="539">
        <f t="shared" si="0"/>
        <v>26390</v>
      </c>
      <c r="H24" s="842"/>
      <c r="I24" s="842"/>
      <c r="J24" s="822"/>
      <c r="K24" s="822"/>
      <c r="L24" s="844"/>
      <c r="M24" s="842"/>
      <c r="N24" s="842"/>
      <c r="O24" s="822"/>
      <c r="P24" s="822"/>
      <c r="Q24" s="540"/>
      <c r="R24" s="540"/>
      <c r="S24" s="540"/>
      <c r="T24" s="144"/>
    </row>
    <row r="25" spans="1:20" ht="18" customHeight="1">
      <c r="A25" s="144">
        <v>23</v>
      </c>
      <c r="B25" s="623">
        <v>43010</v>
      </c>
      <c r="C25" s="243"/>
      <c r="D25" s="243"/>
      <c r="E25" s="243"/>
      <c r="F25" s="601">
        <v>2030</v>
      </c>
      <c r="G25" s="539">
        <f t="shared" si="0"/>
        <v>26390</v>
      </c>
      <c r="H25" s="831"/>
      <c r="I25" s="831"/>
      <c r="J25" s="823"/>
      <c r="K25" s="823"/>
      <c r="L25" s="845"/>
      <c r="M25" s="831"/>
      <c r="N25" s="831"/>
      <c r="O25" s="823"/>
      <c r="P25" s="823"/>
      <c r="Q25" s="253"/>
      <c r="R25" s="254"/>
      <c r="S25" s="255"/>
      <c r="T25" s="144"/>
    </row>
    <row r="26" spans="1:20" ht="18" customHeight="1">
      <c r="A26" s="416">
        <v>5</v>
      </c>
      <c r="B26" s="417">
        <v>42983</v>
      </c>
      <c r="C26" s="418"/>
      <c r="D26" s="418"/>
      <c r="E26" s="418"/>
      <c r="F26" s="708">
        <v>2030</v>
      </c>
      <c r="G26" s="708">
        <f>F26*13</f>
        <v>26390</v>
      </c>
      <c r="H26" s="421">
        <v>2.2000000000000002</v>
      </c>
      <c r="I26" s="709">
        <f>G26*H26</f>
        <v>58058.000000000007</v>
      </c>
      <c r="J26" s="711">
        <f t="shared" si="2"/>
        <v>71000000</v>
      </c>
      <c r="K26" s="711">
        <v>2880000</v>
      </c>
      <c r="L26" s="832">
        <v>43088</v>
      </c>
      <c r="M26" s="819">
        <v>56.5</v>
      </c>
      <c r="N26" s="819">
        <f>SUM(I26:I30)-M26</f>
        <v>264977.5</v>
      </c>
      <c r="O26" s="835">
        <v>22690</v>
      </c>
      <c r="P26" s="835">
        <f>N26*O26</f>
        <v>6012339475</v>
      </c>
      <c r="Q26" s="610"/>
      <c r="R26" s="610"/>
      <c r="S26" s="610"/>
      <c r="T26" s="416"/>
    </row>
    <row r="27" spans="1:20" ht="18" customHeight="1">
      <c r="A27" s="144">
        <v>24</v>
      </c>
      <c r="B27" s="623">
        <v>43010</v>
      </c>
      <c r="C27" s="243"/>
      <c r="D27" s="243"/>
      <c r="E27" s="243"/>
      <c r="F27" s="601">
        <v>2030</v>
      </c>
      <c r="G27" s="539">
        <f t="shared" si="0"/>
        <v>26390</v>
      </c>
      <c r="H27" s="830">
        <v>2</v>
      </c>
      <c r="I27" s="830">
        <f>SUM(G27:G29)*H27</f>
        <v>158340</v>
      </c>
      <c r="J27" s="821">
        <f t="shared" ref="J27" si="8">68000000*3</f>
        <v>204000000</v>
      </c>
      <c r="K27" s="821">
        <f>2880000*3</f>
        <v>8640000</v>
      </c>
      <c r="L27" s="841"/>
      <c r="M27" s="834"/>
      <c r="N27" s="834"/>
      <c r="O27" s="836"/>
      <c r="P27" s="836"/>
      <c r="Q27" s="253"/>
      <c r="R27" s="254"/>
      <c r="S27" s="255"/>
      <c r="T27" s="144"/>
    </row>
    <row r="28" spans="1:20" ht="18.75" customHeight="1">
      <c r="A28" s="144">
        <v>25</v>
      </c>
      <c r="B28" s="623">
        <v>43010</v>
      </c>
      <c r="C28" s="243"/>
      <c r="D28" s="243"/>
      <c r="E28" s="243"/>
      <c r="F28" s="601">
        <v>2030</v>
      </c>
      <c r="G28" s="539">
        <f t="shared" si="0"/>
        <v>26390</v>
      </c>
      <c r="H28" s="842"/>
      <c r="I28" s="842"/>
      <c r="J28" s="822"/>
      <c r="K28" s="822"/>
      <c r="L28" s="841"/>
      <c r="M28" s="834"/>
      <c r="N28" s="834"/>
      <c r="O28" s="836"/>
      <c r="P28" s="836"/>
      <c r="Q28" s="253"/>
      <c r="R28" s="254"/>
      <c r="S28" s="255"/>
      <c r="T28" s="144"/>
    </row>
    <row r="29" spans="1:20" ht="18.75" customHeight="1">
      <c r="A29" s="144">
        <v>26</v>
      </c>
      <c r="B29" s="623">
        <v>43010</v>
      </c>
      <c r="C29" s="243"/>
      <c r="D29" s="243"/>
      <c r="E29" s="243"/>
      <c r="F29" s="601">
        <v>2030</v>
      </c>
      <c r="G29" s="539">
        <f t="shared" si="0"/>
        <v>26390</v>
      </c>
      <c r="H29" s="831"/>
      <c r="I29" s="831"/>
      <c r="J29" s="823"/>
      <c r="K29" s="823"/>
      <c r="L29" s="841"/>
      <c r="M29" s="834"/>
      <c r="N29" s="834"/>
      <c r="O29" s="836"/>
      <c r="P29" s="836"/>
      <c r="Q29" s="253"/>
      <c r="R29" s="254"/>
      <c r="S29" s="255"/>
      <c r="T29" s="144"/>
    </row>
    <row r="30" spans="1:20" ht="18" customHeight="1">
      <c r="A30" s="144">
        <v>27</v>
      </c>
      <c r="B30" s="417">
        <v>43026</v>
      </c>
      <c r="C30" s="418"/>
      <c r="D30" s="418"/>
      <c r="E30" s="418"/>
      <c r="F30" s="708">
        <v>1930</v>
      </c>
      <c r="G30" s="708">
        <f>F30*14</f>
        <v>27020</v>
      </c>
      <c r="H30" s="421">
        <v>1.8</v>
      </c>
      <c r="I30" s="709">
        <f>G30*H30</f>
        <v>48636</v>
      </c>
      <c r="J30" s="835">
        <f>68000000*4</f>
        <v>272000000</v>
      </c>
      <c r="K30" s="835">
        <f>2880000*4</f>
        <v>11520000</v>
      </c>
      <c r="L30" s="833"/>
      <c r="M30" s="820"/>
      <c r="N30" s="820"/>
      <c r="O30" s="837"/>
      <c r="P30" s="837"/>
      <c r="Q30" s="610"/>
      <c r="R30" s="610"/>
      <c r="S30" s="610"/>
      <c r="T30" s="416"/>
    </row>
    <row r="31" spans="1:20" ht="18.75" customHeight="1">
      <c r="A31" s="144">
        <v>28</v>
      </c>
      <c r="B31" s="417">
        <v>43026</v>
      </c>
      <c r="C31" s="418"/>
      <c r="D31" s="418"/>
      <c r="E31" s="418"/>
      <c r="F31" s="708">
        <v>2030</v>
      </c>
      <c r="G31" s="708">
        <f t="shared" si="0"/>
        <v>26390</v>
      </c>
      <c r="H31" s="819">
        <v>2</v>
      </c>
      <c r="I31" s="819">
        <f>SUM(G31:G33)*H31</f>
        <v>158340</v>
      </c>
      <c r="J31" s="836"/>
      <c r="K31" s="836"/>
      <c r="L31" s="843">
        <v>43095</v>
      </c>
      <c r="M31" s="830">
        <v>56.5</v>
      </c>
      <c r="N31" s="830">
        <f>SUM(I31:I33)-M31</f>
        <v>158283.5</v>
      </c>
      <c r="O31" s="821">
        <v>22685</v>
      </c>
      <c r="P31" s="821">
        <f>N31*O31</f>
        <v>3590661197.5</v>
      </c>
      <c r="Q31" s="614"/>
      <c r="R31" s="424"/>
      <c r="S31" s="425"/>
      <c r="T31" s="416"/>
    </row>
    <row r="32" spans="1:20" ht="18.75" customHeight="1">
      <c r="A32" s="144">
        <v>29</v>
      </c>
      <c r="B32" s="417">
        <v>43026</v>
      </c>
      <c r="C32" s="418"/>
      <c r="D32" s="418"/>
      <c r="E32" s="418"/>
      <c r="F32" s="708">
        <v>2030</v>
      </c>
      <c r="G32" s="708">
        <f t="shared" si="0"/>
        <v>26390</v>
      </c>
      <c r="H32" s="834"/>
      <c r="I32" s="834"/>
      <c r="J32" s="836"/>
      <c r="K32" s="836"/>
      <c r="L32" s="844"/>
      <c r="M32" s="842"/>
      <c r="N32" s="842"/>
      <c r="O32" s="822"/>
      <c r="P32" s="822"/>
      <c r="Q32" s="614"/>
      <c r="R32" s="424"/>
      <c r="S32" s="425"/>
      <c r="T32" s="416"/>
    </row>
    <row r="33" spans="1:21" ht="18" customHeight="1">
      <c r="A33" s="144">
        <v>30</v>
      </c>
      <c r="B33" s="417">
        <v>43026</v>
      </c>
      <c r="C33" s="418"/>
      <c r="D33" s="418"/>
      <c r="E33" s="418"/>
      <c r="F33" s="708">
        <v>2030</v>
      </c>
      <c r="G33" s="708">
        <f t="shared" si="0"/>
        <v>26390</v>
      </c>
      <c r="H33" s="820"/>
      <c r="I33" s="820"/>
      <c r="J33" s="837"/>
      <c r="K33" s="837"/>
      <c r="L33" s="845"/>
      <c r="M33" s="831"/>
      <c r="N33" s="831"/>
      <c r="O33" s="823"/>
      <c r="P33" s="823"/>
      <c r="Q33" s="610"/>
      <c r="R33" s="610"/>
      <c r="S33" s="610"/>
      <c r="T33" s="416"/>
    </row>
    <row r="34" spans="1:21" ht="18" customHeight="1">
      <c r="A34" s="144">
        <v>31</v>
      </c>
      <c r="B34" s="417">
        <v>43056</v>
      </c>
      <c r="C34" s="418"/>
      <c r="D34" s="418"/>
      <c r="E34" s="418"/>
      <c r="F34" s="708">
        <v>2030</v>
      </c>
      <c r="G34" s="708">
        <f t="shared" ref="G34:G37" si="9">F34*13</f>
        <v>26390</v>
      </c>
      <c r="H34" s="819">
        <v>2</v>
      </c>
      <c r="I34" s="819">
        <f>(G34+G35)*H34</f>
        <v>105560</v>
      </c>
      <c r="J34" s="821">
        <f>68000000*4</f>
        <v>272000000</v>
      </c>
      <c r="K34" s="821">
        <f>2880000*4</f>
        <v>11520000</v>
      </c>
      <c r="L34" s="832">
        <v>43066</v>
      </c>
      <c r="M34" s="819">
        <f>I34-N34</f>
        <v>56.5</v>
      </c>
      <c r="N34" s="819">
        <v>105503.5</v>
      </c>
      <c r="O34" s="835">
        <v>22690</v>
      </c>
      <c r="P34" s="835">
        <f>N34*O34</f>
        <v>2393874415</v>
      </c>
      <c r="Q34" s="614"/>
      <c r="R34" s="424"/>
      <c r="S34" s="425"/>
      <c r="T34" s="416"/>
    </row>
    <row r="35" spans="1:21" ht="18" customHeight="1">
      <c r="A35" s="144">
        <v>32</v>
      </c>
      <c r="B35" s="417">
        <v>43056</v>
      </c>
      <c r="C35" s="418"/>
      <c r="D35" s="418"/>
      <c r="E35" s="418"/>
      <c r="F35" s="708">
        <v>2030</v>
      </c>
      <c r="G35" s="708">
        <f t="shared" si="9"/>
        <v>26390</v>
      </c>
      <c r="H35" s="820"/>
      <c r="I35" s="820">
        <f t="shared" si="1"/>
        <v>0</v>
      </c>
      <c r="J35" s="822"/>
      <c r="K35" s="822"/>
      <c r="L35" s="833"/>
      <c r="M35" s="820"/>
      <c r="N35" s="820"/>
      <c r="O35" s="837"/>
      <c r="P35" s="837"/>
      <c r="Q35" s="614"/>
      <c r="R35" s="424"/>
      <c r="S35" s="425"/>
      <c r="T35" s="416"/>
    </row>
    <row r="36" spans="1:21" ht="18.75" customHeight="1">
      <c r="A36" s="144">
        <v>33</v>
      </c>
      <c r="B36" s="673">
        <v>43070</v>
      </c>
      <c r="C36" s="243"/>
      <c r="D36" s="243"/>
      <c r="E36" s="243"/>
      <c r="F36" s="684">
        <v>2030</v>
      </c>
      <c r="G36" s="669">
        <f t="shared" si="9"/>
        <v>26390</v>
      </c>
      <c r="H36" s="830">
        <v>2</v>
      </c>
      <c r="I36" s="830">
        <f>(G36+G37)*H36</f>
        <v>105560</v>
      </c>
      <c r="J36" s="822"/>
      <c r="K36" s="822"/>
      <c r="L36" s="843">
        <v>43129</v>
      </c>
      <c r="M36" s="830">
        <v>56.5</v>
      </c>
      <c r="N36" s="830">
        <f>I36+I38-M36</f>
        <v>202775.5</v>
      </c>
      <c r="O36" s="821">
        <v>22685</v>
      </c>
      <c r="P36" s="821">
        <f>N36*O36</f>
        <v>4599962217.5</v>
      </c>
      <c r="Q36" s="253"/>
      <c r="R36" s="254"/>
      <c r="S36" s="255"/>
      <c r="T36" s="144"/>
    </row>
    <row r="37" spans="1:21" ht="18.75" customHeight="1">
      <c r="A37" s="144">
        <v>34</v>
      </c>
      <c r="B37" s="685">
        <v>43070</v>
      </c>
      <c r="C37" s="243"/>
      <c r="D37" s="243"/>
      <c r="E37" s="243"/>
      <c r="F37" s="684">
        <v>2030</v>
      </c>
      <c r="G37" s="669">
        <f t="shared" si="9"/>
        <v>26390</v>
      </c>
      <c r="H37" s="831"/>
      <c r="I37" s="831">
        <f t="shared" ref="I37" si="10">G37*H37</f>
        <v>0</v>
      </c>
      <c r="J37" s="823"/>
      <c r="K37" s="823"/>
      <c r="L37" s="844"/>
      <c r="M37" s="842"/>
      <c r="N37" s="842"/>
      <c r="O37" s="822"/>
      <c r="P37" s="822"/>
      <c r="Q37" s="253"/>
      <c r="R37" s="254"/>
      <c r="S37" s="255"/>
      <c r="T37" s="144"/>
    </row>
    <row r="38" spans="1:21" ht="18.75" customHeight="1">
      <c r="A38" s="144">
        <v>35</v>
      </c>
      <c r="B38" s="673">
        <v>43077</v>
      </c>
      <c r="C38" s="243"/>
      <c r="D38" s="243"/>
      <c r="E38" s="243"/>
      <c r="F38" s="697">
        <v>1930</v>
      </c>
      <c r="G38" s="669">
        <f>F38*14</f>
        <v>27020</v>
      </c>
      <c r="H38" s="830">
        <v>1.8</v>
      </c>
      <c r="I38" s="830">
        <f>(G38+G39)*H38</f>
        <v>97272</v>
      </c>
      <c r="J38" s="310"/>
      <c r="K38" s="310"/>
      <c r="L38" s="844"/>
      <c r="M38" s="842"/>
      <c r="N38" s="842"/>
      <c r="O38" s="822"/>
      <c r="P38" s="822"/>
      <c r="Q38" s="253"/>
      <c r="R38" s="254"/>
      <c r="S38" s="255"/>
      <c r="T38" s="144"/>
    </row>
    <row r="39" spans="1:21" ht="18.75" customHeight="1">
      <c r="A39" s="144">
        <v>36</v>
      </c>
      <c r="B39" s="698">
        <v>43077</v>
      </c>
      <c r="C39" s="243"/>
      <c r="D39" s="243"/>
      <c r="E39" s="243"/>
      <c r="F39" s="697">
        <v>1930</v>
      </c>
      <c r="G39" s="697">
        <f>F39*14</f>
        <v>27020</v>
      </c>
      <c r="H39" s="831"/>
      <c r="I39" s="831">
        <f t="shared" ref="I39" si="11">G39*H39</f>
        <v>0</v>
      </c>
      <c r="J39" s="310"/>
      <c r="K39" s="310"/>
      <c r="L39" s="845"/>
      <c r="M39" s="831"/>
      <c r="N39" s="831"/>
      <c r="O39" s="823"/>
      <c r="P39" s="823"/>
      <c r="Q39" s="253"/>
      <c r="R39" s="254"/>
      <c r="S39" s="255"/>
      <c r="T39" s="144"/>
    </row>
    <row r="40" spans="1:21" ht="18" customHeight="1">
      <c r="A40" s="604">
        <v>37</v>
      </c>
      <c r="B40" s="481">
        <v>43077</v>
      </c>
      <c r="C40" s="482"/>
      <c r="D40" s="482"/>
      <c r="E40" s="482"/>
      <c r="F40" s="779">
        <v>2030</v>
      </c>
      <c r="G40" s="779">
        <f t="shared" ref="G40:G55" si="12">F40*13</f>
        <v>26390</v>
      </c>
      <c r="H40" s="824">
        <v>1.8</v>
      </c>
      <c r="I40" s="824">
        <f>SUM(G40:G42)*H40</f>
        <v>142506</v>
      </c>
      <c r="J40" s="605"/>
      <c r="K40" s="605"/>
      <c r="L40" s="838">
        <v>43097</v>
      </c>
      <c r="M40" s="824">
        <v>56.5</v>
      </c>
      <c r="N40" s="824">
        <f>SUM(I40:I42)-M40</f>
        <v>142449.5</v>
      </c>
      <c r="O40" s="827">
        <v>22685</v>
      </c>
      <c r="P40" s="827">
        <f>N40*O40</f>
        <v>3231466907.5</v>
      </c>
      <c r="Q40" s="659"/>
      <c r="R40" s="660"/>
      <c r="S40" s="661"/>
      <c r="T40" s="604" t="s">
        <v>1249</v>
      </c>
      <c r="U40" t="s">
        <v>1250</v>
      </c>
    </row>
    <row r="41" spans="1:21" ht="18" customHeight="1">
      <c r="A41" s="604">
        <v>38</v>
      </c>
      <c r="B41" s="481">
        <v>43077</v>
      </c>
      <c r="C41" s="482"/>
      <c r="D41" s="482"/>
      <c r="E41" s="482"/>
      <c r="F41" s="779">
        <v>2030</v>
      </c>
      <c r="G41" s="779">
        <f t="shared" si="12"/>
        <v>26390</v>
      </c>
      <c r="H41" s="825"/>
      <c r="I41" s="825"/>
      <c r="J41" s="605"/>
      <c r="K41" s="605"/>
      <c r="L41" s="839"/>
      <c r="M41" s="825"/>
      <c r="N41" s="825"/>
      <c r="O41" s="828"/>
      <c r="P41" s="828"/>
      <c r="Q41" s="659"/>
      <c r="R41" s="660"/>
      <c r="S41" s="661"/>
      <c r="T41" s="604" t="s">
        <v>1249</v>
      </c>
      <c r="U41" t="s">
        <v>1250</v>
      </c>
    </row>
    <row r="42" spans="1:21" ht="18.75" customHeight="1">
      <c r="A42" s="604">
        <v>39</v>
      </c>
      <c r="B42" s="481">
        <v>43077</v>
      </c>
      <c r="C42" s="482"/>
      <c r="D42" s="482"/>
      <c r="E42" s="482"/>
      <c r="F42" s="779">
        <v>2030</v>
      </c>
      <c r="G42" s="779">
        <f t="shared" si="12"/>
        <v>26390</v>
      </c>
      <c r="H42" s="826"/>
      <c r="I42" s="826"/>
      <c r="J42" s="605"/>
      <c r="K42" s="605"/>
      <c r="L42" s="840"/>
      <c r="M42" s="826"/>
      <c r="N42" s="826"/>
      <c r="O42" s="829"/>
      <c r="P42" s="829"/>
      <c r="Q42" s="659"/>
      <c r="R42" s="660"/>
      <c r="S42" s="661"/>
      <c r="T42" s="604" t="s">
        <v>1249</v>
      </c>
      <c r="U42" t="s">
        <v>1250</v>
      </c>
    </row>
    <row r="43" spans="1:21" ht="18.75" customHeight="1">
      <c r="A43" s="604" t="s">
        <v>1238</v>
      </c>
      <c r="B43" s="481">
        <v>43078</v>
      </c>
      <c r="C43" s="482"/>
      <c r="D43" s="482"/>
      <c r="E43" s="482"/>
      <c r="F43" s="779">
        <v>6090</v>
      </c>
      <c r="G43" s="779">
        <f t="shared" si="12"/>
        <v>79170</v>
      </c>
      <c r="H43" s="776">
        <v>1.8</v>
      </c>
      <c r="I43" s="777">
        <f t="shared" ref="I43:I45" si="13">G43*H43</f>
        <v>142506</v>
      </c>
      <c r="J43" s="605"/>
      <c r="K43" s="605"/>
      <c r="L43" s="775">
        <v>43111</v>
      </c>
      <c r="M43" s="776">
        <v>56.5</v>
      </c>
      <c r="N43" s="776">
        <f>SUM(I43:I43)-M43</f>
        <v>142449.5</v>
      </c>
      <c r="O43" s="778">
        <v>22685</v>
      </c>
      <c r="P43" s="778">
        <f>N43*O43</f>
        <v>3231466907.5</v>
      </c>
      <c r="Q43" s="659"/>
      <c r="R43" s="660"/>
      <c r="S43" s="661"/>
      <c r="T43" s="604" t="s">
        <v>1249</v>
      </c>
      <c r="U43" t="s">
        <v>1250</v>
      </c>
    </row>
    <row r="44" spans="1:21" ht="18" customHeight="1">
      <c r="A44" s="416" t="s">
        <v>1235</v>
      </c>
      <c r="B44" s="417">
        <v>43084</v>
      </c>
      <c r="C44" s="418"/>
      <c r="D44" s="418"/>
      <c r="E44" s="418"/>
      <c r="F44" s="782">
        <v>10150</v>
      </c>
      <c r="G44" s="782">
        <f t="shared" si="12"/>
        <v>131950</v>
      </c>
      <c r="H44" s="780">
        <v>1.8</v>
      </c>
      <c r="I44" s="781">
        <f t="shared" si="13"/>
        <v>237510</v>
      </c>
      <c r="J44" s="711"/>
      <c r="K44" s="711"/>
      <c r="L44" s="787">
        <v>43168</v>
      </c>
      <c r="M44" s="788">
        <v>56.5</v>
      </c>
      <c r="N44" s="788">
        <f>I44-M44</f>
        <v>237453.5</v>
      </c>
      <c r="O44" s="711"/>
      <c r="P44" s="711"/>
      <c r="Q44" s="614"/>
      <c r="R44" s="424"/>
      <c r="S44" s="425"/>
      <c r="T44" s="416"/>
    </row>
    <row r="45" spans="1:21" ht="18" customHeight="1">
      <c r="A45" s="144">
        <v>48</v>
      </c>
      <c r="B45" s="702">
        <v>43095</v>
      </c>
      <c r="C45" s="243"/>
      <c r="D45" s="243"/>
      <c r="E45" s="243"/>
      <c r="F45" s="712">
        <v>2030</v>
      </c>
      <c r="G45" s="699">
        <f>F45*13</f>
        <v>26390</v>
      </c>
      <c r="H45" s="752">
        <v>1.8</v>
      </c>
      <c r="I45" s="751">
        <f t="shared" si="13"/>
        <v>47502</v>
      </c>
      <c r="J45" s="310"/>
      <c r="K45" s="310"/>
      <c r="L45" s="843">
        <v>43137</v>
      </c>
      <c r="M45" s="830">
        <v>56.5</v>
      </c>
      <c r="N45" s="830">
        <f>SUM(I45:I49)-M45</f>
        <v>306067.5</v>
      </c>
      <c r="O45" s="821"/>
      <c r="P45" s="821"/>
      <c r="Q45" s="253"/>
      <c r="R45" s="254"/>
      <c r="S45" s="255"/>
      <c r="T45" s="144"/>
    </row>
    <row r="46" spans="1:21" ht="18" customHeight="1">
      <c r="A46" s="144">
        <v>49</v>
      </c>
      <c r="B46" s="713">
        <v>43095</v>
      </c>
      <c r="C46" s="243"/>
      <c r="D46" s="243"/>
      <c r="E46" s="243"/>
      <c r="F46" s="712">
        <v>2030</v>
      </c>
      <c r="G46" s="699">
        <f>F46*13</f>
        <v>26390</v>
      </c>
      <c r="H46" s="752">
        <v>2</v>
      </c>
      <c r="I46" s="700">
        <f>G46*H46</f>
        <v>52780</v>
      </c>
      <c r="J46" s="310"/>
      <c r="K46" s="310"/>
      <c r="L46" s="844"/>
      <c r="M46" s="842"/>
      <c r="N46" s="842"/>
      <c r="O46" s="822"/>
      <c r="P46" s="822"/>
      <c r="Q46" s="253"/>
      <c r="R46" s="254"/>
      <c r="S46" s="255"/>
      <c r="T46" s="144"/>
    </row>
    <row r="47" spans="1:21" ht="18.75" customHeight="1">
      <c r="A47" s="604" t="s">
        <v>1236</v>
      </c>
      <c r="B47" s="481">
        <v>43099</v>
      </c>
      <c r="C47" s="482"/>
      <c r="D47" s="482"/>
      <c r="E47" s="482"/>
      <c r="F47" s="779">
        <v>4060</v>
      </c>
      <c r="G47" s="779">
        <f t="shared" ref="G47:G51" si="14">F47*13</f>
        <v>52780</v>
      </c>
      <c r="H47" s="776">
        <v>2</v>
      </c>
      <c r="I47" s="777">
        <f>G47*H47</f>
        <v>105560</v>
      </c>
      <c r="J47" s="605"/>
      <c r="K47" s="605"/>
      <c r="L47" s="844"/>
      <c r="M47" s="842"/>
      <c r="N47" s="842"/>
      <c r="O47" s="822"/>
      <c r="P47" s="822"/>
      <c r="Q47" s="659"/>
      <c r="R47" s="660"/>
      <c r="S47" s="661"/>
      <c r="T47" s="604" t="s">
        <v>1249</v>
      </c>
      <c r="U47" t="s">
        <v>1250</v>
      </c>
    </row>
    <row r="48" spans="1:21" ht="18" customHeight="1">
      <c r="A48" s="604">
        <v>55</v>
      </c>
      <c r="B48" s="481">
        <v>43140</v>
      </c>
      <c r="C48" s="482"/>
      <c r="D48" s="482"/>
      <c r="E48" s="482"/>
      <c r="F48" s="608">
        <v>2030</v>
      </c>
      <c r="G48" s="779">
        <f>F48*13</f>
        <v>26390</v>
      </c>
      <c r="H48" s="485">
        <v>2</v>
      </c>
      <c r="I48" s="777">
        <f>G48*H48</f>
        <v>52780</v>
      </c>
      <c r="J48" s="605"/>
      <c r="K48" s="605"/>
      <c r="L48" s="844"/>
      <c r="M48" s="842"/>
      <c r="N48" s="842"/>
      <c r="O48" s="822"/>
      <c r="P48" s="822"/>
      <c r="Q48" s="659"/>
      <c r="R48" s="660"/>
      <c r="S48" s="661"/>
      <c r="T48" s="604" t="s">
        <v>1249</v>
      </c>
      <c r="U48" t="s">
        <v>1250</v>
      </c>
    </row>
    <row r="49" spans="1:21" ht="18.75" customHeight="1">
      <c r="A49" s="144">
        <v>56</v>
      </c>
      <c r="B49" s="746">
        <v>43140</v>
      </c>
      <c r="C49" s="243"/>
      <c r="D49" s="243"/>
      <c r="E49" s="243"/>
      <c r="F49" s="745">
        <v>2030</v>
      </c>
      <c r="G49" s="699">
        <f>F49*13</f>
        <v>26390</v>
      </c>
      <c r="H49" s="701">
        <v>1.8</v>
      </c>
      <c r="I49" s="700">
        <f>G49*H49</f>
        <v>47502</v>
      </c>
      <c r="J49" s="310"/>
      <c r="K49" s="310"/>
      <c r="L49" s="845"/>
      <c r="M49" s="831"/>
      <c r="N49" s="831"/>
      <c r="O49" s="823"/>
      <c r="P49" s="823"/>
      <c r="Q49" s="253"/>
      <c r="R49" s="254"/>
      <c r="S49" s="255"/>
      <c r="T49" s="144"/>
    </row>
    <row r="50" spans="1:21" ht="18.75" customHeight="1">
      <c r="A50" s="754">
        <v>52</v>
      </c>
      <c r="B50" s="753">
        <v>43119</v>
      </c>
      <c r="C50" s="243"/>
      <c r="D50" s="243"/>
      <c r="E50" s="243"/>
      <c r="F50" s="750">
        <v>2030</v>
      </c>
      <c r="G50" s="749">
        <f t="shared" si="14"/>
        <v>26390</v>
      </c>
      <c r="H50" s="752">
        <v>1.8</v>
      </c>
      <c r="I50" s="751">
        <f t="shared" ref="I50" si="15">G50*H50</f>
        <v>47502</v>
      </c>
      <c r="J50" s="310"/>
      <c r="K50" s="310"/>
      <c r="L50" s="843">
        <v>43165</v>
      </c>
      <c r="M50" s="830">
        <v>56.5</v>
      </c>
      <c r="N50" s="830">
        <f>SUM(I50:I51)-M50</f>
        <v>153005.5</v>
      </c>
      <c r="O50" s="821"/>
      <c r="P50" s="821"/>
      <c r="Q50" s="253"/>
      <c r="R50" s="254"/>
      <c r="S50" s="255"/>
      <c r="T50" s="754"/>
    </row>
    <row r="51" spans="1:21" ht="18.75" customHeight="1">
      <c r="A51" s="604" t="s">
        <v>1237</v>
      </c>
      <c r="B51" s="481">
        <v>43120</v>
      </c>
      <c r="C51" s="482"/>
      <c r="D51" s="482"/>
      <c r="E51" s="482"/>
      <c r="F51" s="608">
        <v>4060</v>
      </c>
      <c r="G51" s="779">
        <f t="shared" si="14"/>
        <v>52780</v>
      </c>
      <c r="H51" s="776">
        <v>2</v>
      </c>
      <c r="I51" s="777">
        <f t="shared" ref="I51:I55" si="16">G51*H51</f>
        <v>105560</v>
      </c>
      <c r="J51" s="605"/>
      <c r="K51" s="605"/>
      <c r="L51" s="844"/>
      <c r="M51" s="842"/>
      <c r="N51" s="842"/>
      <c r="O51" s="822"/>
      <c r="P51" s="822"/>
      <c r="Q51" s="659"/>
      <c r="R51" s="660"/>
      <c r="S51" s="661"/>
      <c r="T51" s="604" t="s">
        <v>1249</v>
      </c>
      <c r="U51" t="s">
        <v>1250</v>
      </c>
    </row>
    <row r="52" spans="1:21" ht="18.75" customHeight="1">
      <c r="A52" s="604">
        <v>57</v>
      </c>
      <c r="B52" s="481">
        <v>43161</v>
      </c>
      <c r="C52" s="482"/>
      <c r="D52" s="482"/>
      <c r="E52" s="482"/>
      <c r="F52" s="608">
        <v>2030</v>
      </c>
      <c r="G52" s="779">
        <f t="shared" si="12"/>
        <v>26390</v>
      </c>
      <c r="H52" s="485">
        <v>2</v>
      </c>
      <c r="I52" s="777">
        <f t="shared" si="16"/>
        <v>52780</v>
      </c>
      <c r="J52" s="605"/>
      <c r="K52" s="605"/>
      <c r="L52" s="838">
        <v>43182</v>
      </c>
      <c r="M52" s="824">
        <f>45+220</f>
        <v>265</v>
      </c>
      <c r="N52" s="824">
        <f>SUM(I52:I57)-M52</f>
        <v>469503</v>
      </c>
      <c r="O52" s="827"/>
      <c r="P52" s="827"/>
      <c r="Q52" s="659"/>
      <c r="R52" s="660"/>
      <c r="S52" s="661"/>
      <c r="T52" s="604" t="s">
        <v>1249</v>
      </c>
      <c r="U52" t="s">
        <v>1250</v>
      </c>
    </row>
    <row r="53" spans="1:21" ht="18.75" customHeight="1">
      <c r="A53" s="416">
        <v>58</v>
      </c>
      <c r="B53" s="417">
        <v>43161</v>
      </c>
      <c r="C53" s="418"/>
      <c r="D53" s="418"/>
      <c r="E53" s="418"/>
      <c r="F53" s="610">
        <v>2031</v>
      </c>
      <c r="G53" s="782">
        <f t="shared" ref="G53" si="17">F53*13</f>
        <v>26403</v>
      </c>
      <c r="H53" s="421">
        <v>2</v>
      </c>
      <c r="I53" s="781">
        <f t="shared" ref="I53" si="18">G53*H53</f>
        <v>52806</v>
      </c>
      <c r="J53" s="711"/>
      <c r="K53" s="711"/>
      <c r="L53" s="839"/>
      <c r="M53" s="825"/>
      <c r="N53" s="825"/>
      <c r="O53" s="828"/>
      <c r="P53" s="828"/>
      <c r="Q53" s="614"/>
      <c r="R53" s="424"/>
      <c r="S53" s="425"/>
      <c r="T53" s="416"/>
      <c r="U53" t="s">
        <v>1250</v>
      </c>
    </row>
    <row r="54" spans="1:21" ht="18.75" customHeight="1">
      <c r="A54" s="604">
        <v>59</v>
      </c>
      <c r="B54" s="481">
        <v>43162</v>
      </c>
      <c r="C54" s="482"/>
      <c r="D54" s="482"/>
      <c r="E54" s="482"/>
      <c r="F54" s="608">
        <v>2030</v>
      </c>
      <c r="G54" s="779">
        <f t="shared" si="12"/>
        <v>26390</v>
      </c>
      <c r="H54" s="485">
        <v>1.8</v>
      </c>
      <c r="I54" s="777">
        <f t="shared" si="16"/>
        <v>47502</v>
      </c>
      <c r="J54" s="605"/>
      <c r="K54" s="605"/>
      <c r="L54" s="839"/>
      <c r="M54" s="825"/>
      <c r="N54" s="825"/>
      <c r="O54" s="828"/>
      <c r="P54" s="828"/>
      <c r="Q54" s="659"/>
      <c r="R54" s="660"/>
      <c r="S54" s="661"/>
      <c r="T54" s="604" t="s">
        <v>1249</v>
      </c>
      <c r="U54" t="s">
        <v>1250</v>
      </c>
    </row>
    <row r="55" spans="1:21" ht="18.75" customHeight="1">
      <c r="A55" s="754">
        <v>60</v>
      </c>
      <c r="B55" s="753">
        <v>43162</v>
      </c>
      <c r="C55" s="243"/>
      <c r="D55" s="243"/>
      <c r="E55" s="243"/>
      <c r="F55" s="750">
        <v>2030</v>
      </c>
      <c r="G55" s="699">
        <f t="shared" si="12"/>
        <v>26390</v>
      </c>
      <c r="H55" s="701">
        <v>2</v>
      </c>
      <c r="I55" s="700">
        <f t="shared" si="16"/>
        <v>52780</v>
      </c>
      <c r="J55" s="310"/>
      <c r="K55" s="310"/>
      <c r="L55" s="839"/>
      <c r="M55" s="825"/>
      <c r="N55" s="825"/>
      <c r="O55" s="828"/>
      <c r="P55" s="828"/>
      <c r="Q55" s="253"/>
      <c r="R55" s="254"/>
      <c r="S55" s="255"/>
      <c r="T55" s="144"/>
      <c r="U55" t="s">
        <v>1250</v>
      </c>
    </row>
    <row r="56" spans="1:21" ht="18" customHeight="1">
      <c r="A56" s="604" t="s">
        <v>1251</v>
      </c>
      <c r="B56" s="481">
        <v>43167</v>
      </c>
      <c r="C56" s="482"/>
      <c r="D56" s="482"/>
      <c r="E56" s="482"/>
      <c r="F56" s="608">
        <f>2030*2</f>
        <v>4060</v>
      </c>
      <c r="G56" s="779">
        <f t="shared" si="0"/>
        <v>52780</v>
      </c>
      <c r="H56" s="485">
        <v>2</v>
      </c>
      <c r="I56" s="777">
        <f t="shared" si="1"/>
        <v>105560</v>
      </c>
      <c r="J56" s="605"/>
      <c r="K56" s="605"/>
      <c r="L56" s="839"/>
      <c r="M56" s="825"/>
      <c r="N56" s="825"/>
      <c r="O56" s="828"/>
      <c r="P56" s="828"/>
      <c r="Q56" s="659"/>
      <c r="R56" s="660"/>
      <c r="S56" s="661"/>
      <c r="T56" s="604" t="s">
        <v>1253</v>
      </c>
      <c r="U56" t="s">
        <v>1250</v>
      </c>
    </row>
    <row r="57" spans="1:21" ht="18" customHeight="1">
      <c r="A57" s="604" t="s">
        <v>1252</v>
      </c>
      <c r="B57" s="481">
        <v>43167</v>
      </c>
      <c r="C57" s="482"/>
      <c r="D57" s="482"/>
      <c r="E57" s="482"/>
      <c r="F57" s="608">
        <f>2030*3</f>
        <v>6090</v>
      </c>
      <c r="G57" s="779">
        <f t="shared" ref="G57" si="19">F57*13</f>
        <v>79170</v>
      </c>
      <c r="H57" s="485">
        <v>2</v>
      </c>
      <c r="I57" s="777">
        <f t="shared" ref="I57" si="20">G57*H57</f>
        <v>158340</v>
      </c>
      <c r="J57" s="605"/>
      <c r="K57" s="605"/>
      <c r="L57" s="840"/>
      <c r="M57" s="826"/>
      <c r="N57" s="826"/>
      <c r="O57" s="829"/>
      <c r="P57" s="829"/>
      <c r="Q57" s="659"/>
      <c r="R57" s="660"/>
      <c r="S57" s="661"/>
      <c r="T57" s="604" t="s">
        <v>1249</v>
      </c>
      <c r="U57" t="s">
        <v>1250</v>
      </c>
    </row>
    <row r="58" spans="1:21" ht="18" customHeight="1">
      <c r="A58" s="783">
        <v>66</v>
      </c>
      <c r="B58" s="774">
        <v>43167</v>
      </c>
      <c r="C58" s="243"/>
      <c r="D58" s="243"/>
      <c r="E58" s="243"/>
      <c r="F58" s="771">
        <v>2030</v>
      </c>
      <c r="G58" s="770">
        <f t="shared" ref="G58" si="21">F58*13</f>
        <v>26390</v>
      </c>
      <c r="H58" s="773">
        <v>2</v>
      </c>
      <c r="I58" s="772">
        <f t="shared" ref="I58" si="22">G58*H58</f>
        <v>52780</v>
      </c>
      <c r="J58" s="310"/>
      <c r="K58" s="310"/>
      <c r="L58" s="308"/>
      <c r="M58" s="309"/>
      <c r="N58" s="309"/>
      <c r="O58" s="310"/>
      <c r="P58" s="310"/>
      <c r="Q58" s="253"/>
      <c r="R58" s="254"/>
      <c r="S58" s="255"/>
      <c r="T58" s="783"/>
      <c r="U58" t="s">
        <v>1250</v>
      </c>
    </row>
    <row r="59" spans="1:21" ht="18" customHeight="1">
      <c r="A59" s="604" t="s">
        <v>1268</v>
      </c>
      <c r="B59" s="481">
        <v>43174</v>
      </c>
      <c r="C59" s="482"/>
      <c r="D59" s="482"/>
      <c r="E59" s="482"/>
      <c r="F59" s="608">
        <f>2030*4</f>
        <v>8120</v>
      </c>
      <c r="G59" s="789">
        <f t="shared" ref="G59:G63" si="23">F59*13</f>
        <v>105560</v>
      </c>
      <c r="H59" s="485">
        <v>2</v>
      </c>
      <c r="I59" s="790">
        <f t="shared" ref="I59:I63" si="24">G59*H59</f>
        <v>211120</v>
      </c>
      <c r="J59" s="605"/>
      <c r="K59" s="605"/>
      <c r="L59" s="606"/>
      <c r="M59" s="607"/>
      <c r="N59" s="607"/>
      <c r="O59" s="605"/>
      <c r="P59" s="605"/>
      <c r="Q59" s="659"/>
      <c r="R59" s="660"/>
      <c r="S59" s="661"/>
      <c r="T59" s="604" t="s">
        <v>1249</v>
      </c>
      <c r="U59" t="s">
        <v>1250</v>
      </c>
    </row>
    <row r="60" spans="1:21" ht="18.75" customHeight="1">
      <c r="A60" s="754" t="s">
        <v>1269</v>
      </c>
      <c r="B60" s="753">
        <v>43174</v>
      </c>
      <c r="C60" s="243"/>
      <c r="D60" s="243"/>
      <c r="E60" s="243"/>
      <c r="F60" s="750">
        <f>1550+1600</f>
        <v>3150</v>
      </c>
      <c r="G60" s="749">
        <f>F60*15</f>
        <v>47250</v>
      </c>
      <c r="H60" s="752">
        <v>2</v>
      </c>
      <c r="I60" s="751">
        <f t="shared" si="24"/>
        <v>94500</v>
      </c>
      <c r="J60" s="310"/>
      <c r="K60" s="310"/>
      <c r="L60" s="308"/>
      <c r="M60" s="309"/>
      <c r="N60" s="309"/>
      <c r="O60" s="310"/>
      <c r="P60" s="310"/>
      <c r="Q60" s="253"/>
      <c r="R60" s="254"/>
      <c r="S60" s="255"/>
      <c r="T60" s="754" t="s">
        <v>1267</v>
      </c>
      <c r="U60" t="s">
        <v>1250</v>
      </c>
    </row>
    <row r="61" spans="1:21" ht="18.75" customHeight="1">
      <c r="A61" s="783" t="s">
        <v>1275</v>
      </c>
      <c r="B61" s="791">
        <v>43181</v>
      </c>
      <c r="C61" s="243"/>
      <c r="D61" s="243"/>
      <c r="E61" s="243"/>
      <c r="F61" s="750">
        <f>2030*3</f>
        <v>6090</v>
      </c>
      <c r="G61" s="749">
        <f t="shared" si="23"/>
        <v>79170</v>
      </c>
      <c r="H61" s="752">
        <v>2</v>
      </c>
      <c r="I61" s="751">
        <f t="shared" si="24"/>
        <v>158340</v>
      </c>
      <c r="J61" s="310"/>
      <c r="K61" s="310"/>
      <c r="L61" s="308"/>
      <c r="M61" s="309"/>
      <c r="N61" s="309"/>
      <c r="O61" s="310"/>
      <c r="P61" s="310"/>
      <c r="Q61" s="253"/>
      <c r="R61" s="254"/>
      <c r="S61" s="255"/>
      <c r="T61" s="754"/>
    </row>
    <row r="62" spans="1:21" ht="18.75" customHeight="1">
      <c r="A62" s="792">
        <v>76</v>
      </c>
      <c r="B62" s="796">
        <v>43181</v>
      </c>
      <c r="C62" s="243"/>
      <c r="D62" s="243"/>
      <c r="E62" s="243"/>
      <c r="F62" s="750">
        <v>2030</v>
      </c>
      <c r="G62" s="749">
        <f t="shared" si="23"/>
        <v>26390</v>
      </c>
      <c r="H62" s="752">
        <v>1.8</v>
      </c>
      <c r="I62" s="751">
        <f t="shared" si="24"/>
        <v>47502</v>
      </c>
      <c r="J62" s="310"/>
      <c r="K62" s="310"/>
      <c r="L62" s="308"/>
      <c r="M62" s="309"/>
      <c r="N62" s="309"/>
      <c r="O62" s="310"/>
      <c r="P62" s="310"/>
      <c r="Q62" s="253"/>
      <c r="R62" s="254"/>
      <c r="S62" s="255"/>
      <c r="T62" s="754"/>
    </row>
    <row r="63" spans="1:21" ht="19.5" customHeight="1">
      <c r="A63" s="792">
        <v>77</v>
      </c>
      <c r="B63" s="753"/>
      <c r="C63" s="243"/>
      <c r="D63" s="243"/>
      <c r="E63" s="243"/>
      <c r="F63" s="750"/>
      <c r="G63" s="749">
        <f t="shared" si="23"/>
        <v>0</v>
      </c>
      <c r="H63" s="752"/>
      <c r="I63" s="751">
        <f t="shared" si="24"/>
        <v>0</v>
      </c>
      <c r="J63" s="310"/>
      <c r="K63" s="310"/>
      <c r="L63" s="308"/>
      <c r="M63" s="309"/>
      <c r="N63" s="309"/>
      <c r="O63" s="310"/>
      <c r="P63" s="310"/>
      <c r="Q63" s="253"/>
      <c r="R63" s="254"/>
      <c r="S63" s="255"/>
      <c r="T63" s="754"/>
    </row>
    <row r="64" spans="1:21" ht="18" customHeight="1">
      <c r="A64" s="797">
        <v>78</v>
      </c>
      <c r="B64" s="545"/>
      <c r="C64" s="243"/>
      <c r="D64" s="243"/>
      <c r="E64" s="243"/>
      <c r="F64" s="540"/>
      <c r="G64" s="539">
        <f t="shared" si="0"/>
        <v>0</v>
      </c>
      <c r="H64" s="544"/>
      <c r="I64" s="543">
        <f t="shared" si="1"/>
        <v>0</v>
      </c>
      <c r="J64" s="310"/>
      <c r="K64" s="310"/>
      <c r="L64" s="308"/>
      <c r="M64" s="309"/>
      <c r="N64" s="309"/>
      <c r="O64" s="310"/>
      <c r="P64" s="310"/>
      <c r="Q64" s="253"/>
      <c r="R64" s="254"/>
      <c r="S64" s="255"/>
      <c r="T64" s="144"/>
    </row>
    <row r="65" spans="1:20" ht="18.75" customHeight="1">
      <c r="A65" s="797">
        <v>79</v>
      </c>
      <c r="B65" s="673"/>
      <c r="C65" s="243"/>
      <c r="D65" s="243"/>
      <c r="E65" s="243"/>
      <c r="F65" s="671"/>
      <c r="G65" s="669">
        <f t="shared" ref="G65:G66" si="25">F65*13</f>
        <v>0</v>
      </c>
      <c r="H65" s="672"/>
      <c r="I65" s="670">
        <f t="shared" ref="I65:I66" si="26">G65*H65</f>
        <v>0</v>
      </c>
      <c r="J65" s="310"/>
      <c r="K65" s="310"/>
      <c r="L65" s="308"/>
      <c r="M65" s="309"/>
      <c r="N65" s="309"/>
      <c r="O65" s="310"/>
      <c r="P65" s="310"/>
      <c r="Q65" s="253"/>
      <c r="R65" s="254"/>
      <c r="S65" s="255"/>
      <c r="T65" s="144"/>
    </row>
    <row r="66" spans="1:20" ht="18.75" customHeight="1">
      <c r="A66" s="797">
        <v>80</v>
      </c>
      <c r="B66" s="673"/>
      <c r="C66" s="243"/>
      <c r="D66" s="243"/>
      <c r="E66" s="243"/>
      <c r="F66" s="671"/>
      <c r="G66" s="669">
        <f t="shared" si="25"/>
        <v>0</v>
      </c>
      <c r="H66" s="672"/>
      <c r="I66" s="670">
        <f t="shared" si="26"/>
        <v>0</v>
      </c>
      <c r="J66" s="310"/>
      <c r="K66" s="310"/>
      <c r="L66" s="308"/>
      <c r="M66" s="309"/>
      <c r="N66" s="309"/>
      <c r="O66" s="310"/>
      <c r="P66" s="310"/>
      <c r="Q66" s="253"/>
      <c r="R66" s="254"/>
      <c r="S66" s="255"/>
      <c r="T66" s="144"/>
    </row>
    <row r="67" spans="1:20" ht="18.75" customHeight="1">
      <c r="A67" s="797">
        <v>81</v>
      </c>
      <c r="B67" s="545"/>
      <c r="C67" s="243"/>
      <c r="D67" s="243"/>
      <c r="E67" s="243"/>
      <c r="F67" s="540"/>
      <c r="G67" s="539">
        <f t="shared" si="0"/>
        <v>0</v>
      </c>
      <c r="H67" s="544"/>
      <c r="I67" s="543">
        <f t="shared" si="1"/>
        <v>0</v>
      </c>
      <c r="J67" s="310"/>
      <c r="K67" s="310"/>
      <c r="L67" s="308"/>
      <c r="M67" s="309"/>
      <c r="N67" s="309"/>
      <c r="O67" s="310"/>
      <c r="P67" s="310"/>
      <c r="Q67" s="253"/>
      <c r="R67" s="254"/>
      <c r="S67" s="255"/>
      <c r="T67" s="144"/>
    </row>
    <row r="68" spans="1:20" ht="18.75" customHeight="1">
      <c r="A68" s="797">
        <v>82</v>
      </c>
      <c r="B68" s="545"/>
      <c r="C68" s="243"/>
      <c r="D68" s="243"/>
      <c r="E68" s="243"/>
      <c r="F68" s="540"/>
      <c r="G68" s="539">
        <f t="shared" si="0"/>
        <v>0</v>
      </c>
      <c r="H68" s="544"/>
      <c r="I68" s="543">
        <f t="shared" si="1"/>
        <v>0</v>
      </c>
      <c r="J68" s="310"/>
      <c r="K68" s="310"/>
      <c r="L68" s="308"/>
      <c r="M68" s="309"/>
      <c r="N68" s="309"/>
      <c r="O68" s="310"/>
      <c r="P68" s="310"/>
      <c r="Q68" s="253"/>
      <c r="R68" s="254"/>
      <c r="S68" s="255"/>
      <c r="T68" s="144"/>
    </row>
    <row r="69" spans="1:20" ht="18.75" customHeight="1">
      <c r="A69" s="249"/>
      <c r="B69" s="547"/>
      <c r="C69" s="148"/>
      <c r="D69" s="148"/>
      <c r="E69" s="148"/>
      <c r="F69" s="538"/>
      <c r="G69" s="538"/>
      <c r="H69" s="546"/>
      <c r="I69" s="546"/>
      <c r="J69" s="312"/>
      <c r="K69" s="312"/>
      <c r="L69" s="311"/>
      <c r="M69" s="311"/>
      <c r="N69" s="312"/>
      <c r="O69" s="312"/>
      <c r="P69" s="312"/>
      <c r="Q69" s="546"/>
      <c r="R69" s="546"/>
      <c r="S69" s="546"/>
      <c r="T69" s="249"/>
    </row>
    <row r="70" spans="1:20" ht="18.75" customHeight="1">
      <c r="A70" s="846" t="s">
        <v>19</v>
      </c>
      <c r="B70" s="847"/>
      <c r="C70" s="847"/>
      <c r="D70" s="847"/>
      <c r="E70" s="848"/>
      <c r="F70" s="261">
        <f>SUM(F4:F69)</f>
        <v>153071</v>
      </c>
      <c r="G70" s="261">
        <f>SUM(G4:G69)</f>
        <v>2002013</v>
      </c>
      <c r="H70" s="262"/>
      <c r="I70" s="552">
        <f>SUM(I4:I69)</f>
        <v>4008926</v>
      </c>
      <c r="J70" s="261">
        <f>SUM(J4:J69)</f>
        <v>2342000000</v>
      </c>
      <c r="K70" s="261">
        <f>SUM(K4:K69)</f>
        <v>97920000</v>
      </c>
      <c r="L70" s="262"/>
      <c r="M70" s="262">
        <f>SUM(M4:M69)</f>
        <v>1225.5000000000073</v>
      </c>
      <c r="N70" s="262">
        <f>SUM(N4:N69)</f>
        <v>3443458.5</v>
      </c>
      <c r="O70" s="262"/>
      <c r="P70" s="261">
        <f>SUM(P4:P69)</f>
        <v>51668151870</v>
      </c>
      <c r="Q70" s="261"/>
      <c r="R70" s="261">
        <f>SUM(R4:R69)</f>
        <v>3164972.8</v>
      </c>
      <c r="S70" s="261">
        <f>SUM(S4:S69)</f>
        <v>7729094000</v>
      </c>
      <c r="T70" s="262"/>
    </row>
    <row r="71" spans="1:20" ht="18.75" customHeight="1">
      <c r="B71" s="162"/>
    </row>
    <row r="72" spans="1:20" ht="18.75" customHeight="1">
      <c r="A72" s="237"/>
      <c r="B72" s="237"/>
      <c r="C72" s="237"/>
      <c r="D72" s="237"/>
      <c r="E72" s="237"/>
      <c r="F72" s="237"/>
      <c r="G72" s="237"/>
      <c r="H72" s="237"/>
      <c r="I72" s="237"/>
      <c r="J72" s="462"/>
      <c r="K72" s="462"/>
      <c r="L72" s="305"/>
      <c r="M72" s="305"/>
      <c r="N72" s="463">
        <f>I70-N70-M70</f>
        <v>564242</v>
      </c>
      <c r="O72" s="305"/>
      <c r="P72" s="548" t="s">
        <v>463</v>
      </c>
      <c r="Q72" s="259"/>
      <c r="R72" s="259"/>
      <c r="S72" s="259"/>
      <c r="T72" s="541"/>
    </row>
    <row r="73" spans="1:20" ht="18.75" customHeight="1">
      <c r="J73" s="259"/>
      <c r="K73" s="259"/>
      <c r="Q73" s="306"/>
      <c r="R73" s="306"/>
      <c r="S73" s="306"/>
      <c r="T73" s="259"/>
    </row>
    <row r="74" spans="1:20" ht="18" customHeight="1">
      <c r="N74" s="649"/>
      <c r="T74" s="307"/>
    </row>
    <row r="75" spans="1:20" ht="18" customHeight="1">
      <c r="T75" s="307"/>
    </row>
  </sheetData>
  <autoFilter ref="A3:T68"/>
  <mergeCells count="127">
    <mergeCell ref="L52:L57"/>
    <mergeCell ref="M52:M57"/>
    <mergeCell ref="N52:N57"/>
    <mergeCell ref="O52:O57"/>
    <mergeCell ref="P52:P57"/>
    <mergeCell ref="L45:L49"/>
    <mergeCell ref="M45:M49"/>
    <mergeCell ref="N45:N49"/>
    <mergeCell ref="O45:O49"/>
    <mergeCell ref="P45:P49"/>
    <mergeCell ref="L50:L51"/>
    <mergeCell ref="M50:M51"/>
    <mergeCell ref="N50:N51"/>
    <mergeCell ref="O50:O51"/>
    <mergeCell ref="P50:P51"/>
    <mergeCell ref="H17:H19"/>
    <mergeCell ref="H20:H22"/>
    <mergeCell ref="I20:I22"/>
    <mergeCell ref="J20:J22"/>
    <mergeCell ref="K20:K22"/>
    <mergeCell ref="L17:L19"/>
    <mergeCell ref="M23:M25"/>
    <mergeCell ref="N23:N25"/>
    <mergeCell ref="O23:O25"/>
    <mergeCell ref="H23:H25"/>
    <mergeCell ref="M17:M19"/>
    <mergeCell ref="N17:N19"/>
    <mergeCell ref="O17:O19"/>
    <mergeCell ref="P17:P19"/>
    <mergeCell ref="L20:L22"/>
    <mergeCell ref="M20:M22"/>
    <mergeCell ref="N20:N22"/>
    <mergeCell ref="O20:O22"/>
    <mergeCell ref="P20:P22"/>
    <mergeCell ref="I17:I19"/>
    <mergeCell ref="J17:J19"/>
    <mergeCell ref="K17:K19"/>
    <mergeCell ref="P23:P25"/>
    <mergeCell ref="I23:I25"/>
    <mergeCell ref="J23:J25"/>
    <mergeCell ref="K23:K25"/>
    <mergeCell ref="L36:L39"/>
    <mergeCell ref="M36:M39"/>
    <mergeCell ref="N36:N39"/>
    <mergeCell ref="O36:O39"/>
    <mergeCell ref="P36:P39"/>
    <mergeCell ref="L23:L25"/>
    <mergeCell ref="L31:L33"/>
    <mergeCell ref="O31:O33"/>
    <mergeCell ref="A70:E70"/>
    <mergeCell ref="Q2:S2"/>
    <mergeCell ref="T2:T3"/>
    <mergeCell ref="A2:A3"/>
    <mergeCell ref="B2:B3"/>
    <mergeCell ref="C2:E2"/>
    <mergeCell ref="F2:I2"/>
    <mergeCell ref="J2:J3"/>
    <mergeCell ref="L2:P2"/>
    <mergeCell ref="K2:K3"/>
    <mergeCell ref="I8:I10"/>
    <mergeCell ref="H8:H10"/>
    <mergeCell ref="H11:H13"/>
    <mergeCell ref="I11:I13"/>
    <mergeCell ref="J8:J10"/>
    <mergeCell ref="K8:K10"/>
    <mergeCell ref="J11:J13"/>
    <mergeCell ref="K11:K13"/>
    <mergeCell ref="H14:H16"/>
    <mergeCell ref="I14:I16"/>
    <mergeCell ref="J14:J16"/>
    <mergeCell ref="K14:K16"/>
    <mergeCell ref="L8:L10"/>
    <mergeCell ref="P8:P10"/>
    <mergeCell ref="L5:L7"/>
    <mergeCell ref="M5:M7"/>
    <mergeCell ref="N5:N7"/>
    <mergeCell ref="O5:O7"/>
    <mergeCell ref="M8:M10"/>
    <mergeCell ref="N8:N10"/>
    <mergeCell ref="O8:O10"/>
    <mergeCell ref="P5:P7"/>
    <mergeCell ref="M14:M16"/>
    <mergeCell ref="N14:N16"/>
    <mergeCell ref="O14:O16"/>
    <mergeCell ref="P14:P16"/>
    <mergeCell ref="L11:L13"/>
    <mergeCell ref="M11:M13"/>
    <mergeCell ref="N11:N13"/>
    <mergeCell ref="O11:O13"/>
    <mergeCell ref="P11:P13"/>
    <mergeCell ref="L14:L16"/>
    <mergeCell ref="P40:P42"/>
    <mergeCell ref="H31:H33"/>
    <mergeCell ref="I31:I33"/>
    <mergeCell ref="J30:J33"/>
    <mergeCell ref="K30:K33"/>
    <mergeCell ref="L40:L42"/>
    <mergeCell ref="P31:P33"/>
    <mergeCell ref="L26:L30"/>
    <mergeCell ref="M26:M30"/>
    <mergeCell ref="N26:N30"/>
    <mergeCell ref="O26:O30"/>
    <mergeCell ref="P26:P30"/>
    <mergeCell ref="H38:H39"/>
    <mergeCell ref="I38:I39"/>
    <mergeCell ref="H40:H42"/>
    <mergeCell ref="I40:I42"/>
    <mergeCell ref="H27:H29"/>
    <mergeCell ref="I27:I29"/>
    <mergeCell ref="J27:J29"/>
    <mergeCell ref="K27:K29"/>
    <mergeCell ref="M31:M33"/>
    <mergeCell ref="N31:N33"/>
    <mergeCell ref="O34:O35"/>
    <mergeCell ref="P34:P35"/>
    <mergeCell ref="H34:H35"/>
    <mergeCell ref="I34:I35"/>
    <mergeCell ref="J34:J37"/>
    <mergeCell ref="K34:K37"/>
    <mergeCell ref="M40:M42"/>
    <mergeCell ref="N40:N42"/>
    <mergeCell ref="O40:O42"/>
    <mergeCell ref="H36:H37"/>
    <mergeCell ref="I36:I37"/>
    <mergeCell ref="L34:L35"/>
    <mergeCell ref="M34:M35"/>
    <mergeCell ref="N34:N35"/>
  </mergeCells>
  <pageMargins left="0.16" right="0.16" top="0.11" bottom="0.16" header="0.3" footer="0.3"/>
  <pageSetup paperSize="9"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457"/>
  <sheetViews>
    <sheetView topLeftCell="A206" zoomScale="90" zoomScaleNormal="90" workbookViewId="0">
      <selection activeCell="G66" sqref="G65:G66"/>
    </sheetView>
  </sheetViews>
  <sheetFormatPr defaultColWidth="9.140625" defaultRowHeight="15"/>
  <cols>
    <col min="1" max="1" width="4.28515625" style="335" customWidth="1"/>
    <col min="2" max="2" width="44.42578125" style="335" customWidth="1"/>
    <col min="3" max="3" width="12.42578125" style="340" customWidth="1"/>
    <col min="4" max="4" width="8.140625" style="341" customWidth="1"/>
    <col min="5" max="5" width="15.140625" style="341" customWidth="1"/>
    <col min="6" max="6" width="14.28515625" style="335" customWidth="1"/>
    <col min="7" max="7" width="14" style="334" customWidth="1"/>
    <col min="8" max="8" width="0.7109375" style="334" customWidth="1"/>
    <col min="9" max="9" width="4.140625" style="334" customWidth="1"/>
    <col min="10" max="10" width="8.85546875" style="334" customWidth="1"/>
    <col min="11" max="11" width="8.5703125" style="334" customWidth="1"/>
    <col min="12" max="12" width="9" style="334" customWidth="1"/>
    <col min="13" max="13" width="4.85546875" style="334" customWidth="1"/>
    <col min="14" max="14" width="7.7109375" style="334" customWidth="1"/>
    <col min="15" max="15" width="7.28515625" style="334" hidden="1" customWidth="1"/>
    <col min="16" max="17" width="8.5703125" style="335" customWidth="1"/>
    <col min="18" max="18" width="10.85546875" style="335" customWidth="1"/>
    <col min="19" max="19" width="14.85546875" style="335" hidden="1" customWidth="1"/>
    <col min="20" max="20" width="9.140625" style="335"/>
    <col min="21" max="21" width="15" style="335" bestFit="1" customWidth="1"/>
    <col min="22" max="16384" width="9.140625" style="335"/>
  </cols>
  <sheetData>
    <row r="1" spans="1:21">
      <c r="J1" s="352" t="s">
        <v>29</v>
      </c>
      <c r="K1" s="353"/>
      <c r="L1" s="354"/>
      <c r="M1" s="353"/>
      <c r="N1" s="353"/>
      <c r="O1" s="353"/>
      <c r="P1" s="353"/>
      <c r="Q1" s="353"/>
      <c r="R1" s="353"/>
    </row>
    <row r="2" spans="1:21" ht="24.75" customHeight="1">
      <c r="A2" s="803" t="s">
        <v>0</v>
      </c>
      <c r="B2" s="803" t="s">
        <v>21</v>
      </c>
      <c r="C2" s="855" t="s">
        <v>50</v>
      </c>
      <c r="D2" s="815" t="s">
        <v>51</v>
      </c>
      <c r="E2" s="815" t="s">
        <v>9</v>
      </c>
      <c r="F2" s="815" t="s">
        <v>117</v>
      </c>
      <c r="G2" s="815" t="s">
        <v>52</v>
      </c>
      <c r="H2" s="559"/>
      <c r="I2" s="803" t="s">
        <v>0</v>
      </c>
      <c r="J2" s="803" t="s">
        <v>30</v>
      </c>
      <c r="K2" s="803" t="s">
        <v>31</v>
      </c>
      <c r="L2" s="803" t="s">
        <v>103</v>
      </c>
      <c r="M2" s="803" t="s">
        <v>32</v>
      </c>
      <c r="N2" s="805" t="s">
        <v>83</v>
      </c>
      <c r="O2" s="806"/>
      <c r="P2" s="813" t="s">
        <v>33</v>
      </c>
      <c r="Q2" s="815" t="s">
        <v>106</v>
      </c>
      <c r="R2" s="815" t="s">
        <v>9</v>
      </c>
      <c r="S2" s="815" t="s">
        <v>82</v>
      </c>
    </row>
    <row r="3" spans="1:21" ht="23.25" customHeight="1">
      <c r="A3" s="803"/>
      <c r="B3" s="803"/>
      <c r="C3" s="855"/>
      <c r="D3" s="815"/>
      <c r="E3" s="815"/>
      <c r="F3" s="815"/>
      <c r="G3" s="815"/>
      <c r="H3" s="559"/>
      <c r="I3" s="803"/>
      <c r="J3" s="803"/>
      <c r="K3" s="803"/>
      <c r="L3" s="803"/>
      <c r="M3" s="803"/>
      <c r="N3" s="807"/>
      <c r="O3" s="808"/>
      <c r="P3" s="814"/>
      <c r="Q3" s="815"/>
      <c r="R3" s="815"/>
      <c r="S3" s="815"/>
    </row>
    <row r="4" spans="1:21">
      <c r="A4" s="356">
        <v>1</v>
      </c>
      <c r="B4" s="264" t="s">
        <v>895</v>
      </c>
      <c r="C4" s="510">
        <v>58058</v>
      </c>
      <c r="D4" s="511">
        <v>22690</v>
      </c>
      <c r="E4" s="511">
        <f>C4*D4</f>
        <v>1317336020</v>
      </c>
      <c r="F4" s="512"/>
      <c r="G4" s="511"/>
      <c r="H4" s="559"/>
      <c r="I4" s="489">
        <v>1</v>
      </c>
      <c r="J4" s="355">
        <v>42962</v>
      </c>
      <c r="K4" s="355">
        <v>42962</v>
      </c>
      <c r="L4" s="356" t="s">
        <v>935</v>
      </c>
      <c r="M4" s="601">
        <f>IF(K4&lt;&gt;"",K4-J4+1,"")</f>
        <v>1</v>
      </c>
      <c r="N4" s="555">
        <v>2030</v>
      </c>
      <c r="O4" s="555">
        <f t="shared" ref="O4:O38" si="0">IF(K4&lt;&gt;"",N4,0)</f>
        <v>2030</v>
      </c>
      <c r="P4" s="587">
        <f t="shared" ref="P4:P38" si="1">N4*13</f>
        <v>26390</v>
      </c>
      <c r="Q4" s="357">
        <f>IF(OR(M4="",M4=1),0,22000)</f>
        <v>0</v>
      </c>
      <c r="R4" s="357">
        <f t="shared" ref="R4:R38" si="2">IF(M4&lt;&gt;"",Q4*P4*M4/1000,"")</f>
        <v>0</v>
      </c>
      <c r="S4" s="357"/>
    </row>
    <row r="5" spans="1:21">
      <c r="A5" s="356">
        <v>2</v>
      </c>
      <c r="B5" s="264" t="s">
        <v>910</v>
      </c>
      <c r="C5" s="510">
        <v>174174</v>
      </c>
      <c r="D5" s="511">
        <v>22690</v>
      </c>
      <c r="E5" s="511">
        <f>C5*D5</f>
        <v>3952008060</v>
      </c>
      <c r="F5" s="512"/>
      <c r="G5" s="511"/>
      <c r="H5" s="559"/>
      <c r="I5" s="489">
        <v>2</v>
      </c>
      <c r="J5" s="355">
        <v>42962</v>
      </c>
      <c r="K5" s="355">
        <v>42964</v>
      </c>
      <c r="L5" s="356" t="s">
        <v>935</v>
      </c>
      <c r="M5" s="601">
        <f t="shared" ref="M5:M37" si="3">IF(K5&lt;&gt;"",K5-J5+1,"")</f>
        <v>3</v>
      </c>
      <c r="N5" s="555">
        <v>10</v>
      </c>
      <c r="O5" s="555">
        <f t="shared" si="0"/>
        <v>10</v>
      </c>
      <c r="P5" s="587">
        <f t="shared" si="1"/>
        <v>130</v>
      </c>
      <c r="Q5" s="357">
        <f t="shared" ref="Q5:Q38" si="4">IF(OR(M5="",M5=1),0,22000)</f>
        <v>22000</v>
      </c>
      <c r="R5" s="357">
        <f t="shared" si="2"/>
        <v>8580</v>
      </c>
      <c r="S5" s="357"/>
      <c r="U5" s="335">
        <f>M4-1</f>
        <v>0</v>
      </c>
    </row>
    <row r="6" spans="1:21">
      <c r="A6" s="356">
        <v>3</v>
      </c>
      <c r="B6" s="264" t="s">
        <v>928</v>
      </c>
      <c r="C6" s="510">
        <v>174174</v>
      </c>
      <c r="D6" s="511">
        <v>22690</v>
      </c>
      <c r="E6" s="511">
        <f>C6*D6</f>
        <v>3952008060</v>
      </c>
      <c r="F6" s="512"/>
      <c r="G6" s="511"/>
      <c r="H6" s="559"/>
      <c r="I6" s="489">
        <v>3</v>
      </c>
      <c r="J6" s="355">
        <v>42964</v>
      </c>
      <c r="K6" s="355">
        <v>42964</v>
      </c>
      <c r="L6" s="356" t="s">
        <v>936</v>
      </c>
      <c r="M6" s="601">
        <f t="shared" si="3"/>
        <v>1</v>
      </c>
      <c r="N6" s="555">
        <v>2020</v>
      </c>
      <c r="O6" s="555">
        <f t="shared" si="0"/>
        <v>2020</v>
      </c>
      <c r="P6" s="587">
        <f t="shared" si="1"/>
        <v>26260</v>
      </c>
      <c r="Q6" s="357">
        <f t="shared" si="4"/>
        <v>0</v>
      </c>
      <c r="R6" s="357">
        <f t="shared" si="2"/>
        <v>0</v>
      </c>
      <c r="S6" s="357"/>
    </row>
    <row r="7" spans="1:21">
      <c r="A7" s="356">
        <v>4</v>
      </c>
      <c r="B7" s="253" t="s">
        <v>959</v>
      </c>
      <c r="C7" s="309"/>
      <c r="D7" s="255"/>
      <c r="E7" s="255"/>
      <c r="F7" s="254">
        <f>56.5*3*D6</f>
        <v>3845955</v>
      </c>
      <c r="G7" s="255"/>
      <c r="H7" s="559"/>
      <c r="I7" s="489">
        <v>4</v>
      </c>
      <c r="J7" s="355">
        <v>42965</v>
      </c>
      <c r="K7" s="355">
        <v>42965</v>
      </c>
      <c r="L7" s="356" t="s">
        <v>937</v>
      </c>
      <c r="M7" s="601">
        <f t="shared" si="3"/>
        <v>1</v>
      </c>
      <c r="N7" s="555">
        <v>2030</v>
      </c>
      <c r="O7" s="555">
        <f t="shared" si="0"/>
        <v>2030</v>
      </c>
      <c r="P7" s="587">
        <f t="shared" si="1"/>
        <v>26390</v>
      </c>
      <c r="Q7" s="357">
        <f t="shared" si="4"/>
        <v>0</v>
      </c>
      <c r="R7" s="357">
        <f t="shared" si="2"/>
        <v>0</v>
      </c>
      <c r="S7" s="357"/>
    </row>
    <row r="8" spans="1:21">
      <c r="A8" s="356">
        <v>5</v>
      </c>
      <c r="B8" s="253" t="s">
        <v>962</v>
      </c>
      <c r="C8" s="309"/>
      <c r="D8" s="255"/>
      <c r="E8" s="255"/>
      <c r="F8" s="254">
        <f>65000000*3</f>
        <v>195000000</v>
      </c>
      <c r="G8" s="255"/>
      <c r="H8" s="559"/>
      <c r="I8" s="489">
        <v>5</v>
      </c>
      <c r="J8" s="355">
        <v>42971</v>
      </c>
      <c r="K8" s="355">
        <v>42971</v>
      </c>
      <c r="L8" s="589" t="s">
        <v>938</v>
      </c>
      <c r="M8" s="601">
        <f t="shared" si="3"/>
        <v>1</v>
      </c>
      <c r="N8" s="555">
        <v>2030</v>
      </c>
      <c r="O8" s="555">
        <f t="shared" si="0"/>
        <v>2030</v>
      </c>
      <c r="P8" s="587">
        <f t="shared" si="1"/>
        <v>26390</v>
      </c>
      <c r="Q8" s="357">
        <f t="shared" si="4"/>
        <v>0</v>
      </c>
      <c r="R8" s="357">
        <f t="shared" si="2"/>
        <v>0</v>
      </c>
      <c r="S8" s="357"/>
    </row>
    <row r="9" spans="1:21">
      <c r="A9" s="356">
        <v>6</v>
      </c>
      <c r="B9" s="253" t="s">
        <v>963</v>
      </c>
      <c r="C9" s="309"/>
      <c r="D9" s="255"/>
      <c r="E9" s="255"/>
      <c r="F9" s="254">
        <f>68000000*5</f>
        <v>340000000</v>
      </c>
      <c r="G9" s="255"/>
      <c r="H9" s="559"/>
      <c r="I9" s="489">
        <v>6</v>
      </c>
      <c r="J9" s="355">
        <v>42976</v>
      </c>
      <c r="K9" s="355">
        <v>42982</v>
      </c>
      <c r="L9" s="356" t="s">
        <v>939</v>
      </c>
      <c r="M9" s="601">
        <f t="shared" si="3"/>
        <v>7</v>
      </c>
      <c r="N9" s="555">
        <v>2030</v>
      </c>
      <c r="O9" s="555">
        <f t="shared" si="0"/>
        <v>2030</v>
      </c>
      <c r="P9" s="587">
        <f t="shared" si="1"/>
        <v>26390</v>
      </c>
      <c r="Q9" s="357">
        <f t="shared" si="4"/>
        <v>22000</v>
      </c>
      <c r="R9" s="357">
        <f t="shared" si="2"/>
        <v>4064060</v>
      </c>
      <c r="S9" s="357"/>
    </row>
    <row r="10" spans="1:21">
      <c r="A10" s="356">
        <v>7</v>
      </c>
      <c r="B10" s="253" t="s">
        <v>964</v>
      </c>
      <c r="C10" s="309"/>
      <c r="D10" s="255"/>
      <c r="E10" s="255"/>
      <c r="F10" s="254">
        <f>71000000*2</f>
        <v>142000000</v>
      </c>
      <c r="G10" s="255"/>
      <c r="H10" s="559"/>
      <c r="I10" s="489">
        <v>7</v>
      </c>
      <c r="J10" s="355">
        <v>42984</v>
      </c>
      <c r="K10" s="355">
        <v>42989</v>
      </c>
      <c r="L10" s="356" t="s">
        <v>940</v>
      </c>
      <c r="M10" s="601">
        <f t="shared" si="3"/>
        <v>6</v>
      </c>
      <c r="N10" s="555">
        <v>1596</v>
      </c>
      <c r="O10" s="555">
        <f t="shared" si="0"/>
        <v>1596</v>
      </c>
      <c r="P10" s="587">
        <f t="shared" si="1"/>
        <v>20748</v>
      </c>
      <c r="Q10" s="357">
        <f t="shared" si="4"/>
        <v>22000</v>
      </c>
      <c r="R10" s="357">
        <f t="shared" si="2"/>
        <v>2738736</v>
      </c>
      <c r="S10" s="357"/>
    </row>
    <row r="11" spans="1:21">
      <c r="A11" s="356">
        <v>8</v>
      </c>
      <c r="B11" s="253" t="s">
        <v>965</v>
      </c>
      <c r="C11" s="309"/>
      <c r="D11" s="255"/>
      <c r="E11" s="255"/>
      <c r="F11" s="254">
        <f>68000000*10</f>
        <v>680000000</v>
      </c>
      <c r="G11" s="255"/>
      <c r="H11" s="559"/>
      <c r="I11" s="489">
        <v>8</v>
      </c>
      <c r="J11" s="355">
        <v>42984</v>
      </c>
      <c r="K11" s="355">
        <v>42989</v>
      </c>
      <c r="L11" s="356" t="s">
        <v>941</v>
      </c>
      <c r="M11" s="601">
        <f t="shared" si="3"/>
        <v>6</v>
      </c>
      <c r="N11" s="555">
        <v>1466</v>
      </c>
      <c r="O11" s="555">
        <f t="shared" si="0"/>
        <v>1466</v>
      </c>
      <c r="P11" s="587">
        <f t="shared" si="1"/>
        <v>19058</v>
      </c>
      <c r="Q11" s="357">
        <f t="shared" si="4"/>
        <v>22000</v>
      </c>
      <c r="R11" s="357">
        <f t="shared" si="2"/>
        <v>2515656</v>
      </c>
      <c r="S11" s="357"/>
    </row>
    <row r="12" spans="1:21">
      <c r="A12" s="356">
        <v>9</v>
      </c>
      <c r="B12" s="256" t="s">
        <v>958</v>
      </c>
      <c r="C12" s="263"/>
      <c r="D12" s="258"/>
      <c r="E12" s="258"/>
      <c r="F12" s="254">
        <f>20*2880000</f>
        <v>57600000</v>
      </c>
      <c r="G12" s="255"/>
      <c r="H12" s="559"/>
      <c r="I12" s="489">
        <v>9</v>
      </c>
      <c r="J12" s="355">
        <v>42985</v>
      </c>
      <c r="K12" s="355">
        <v>42985</v>
      </c>
      <c r="L12" s="356"/>
      <c r="M12" s="601">
        <f t="shared" si="3"/>
        <v>1</v>
      </c>
      <c r="N12" s="555">
        <v>1070</v>
      </c>
      <c r="O12" s="555">
        <f t="shared" si="0"/>
        <v>1070</v>
      </c>
      <c r="P12" s="587">
        <f t="shared" si="1"/>
        <v>13910</v>
      </c>
      <c r="Q12" s="357">
        <f t="shared" si="4"/>
        <v>0</v>
      </c>
      <c r="R12" s="357">
        <f t="shared" si="2"/>
        <v>0</v>
      </c>
      <c r="S12" s="357"/>
    </row>
    <row r="13" spans="1:21">
      <c r="A13" s="356">
        <v>10</v>
      </c>
      <c r="B13" s="256" t="s">
        <v>391</v>
      </c>
      <c r="C13" s="310"/>
      <c r="D13" s="255"/>
      <c r="E13" s="255"/>
      <c r="F13" s="254">
        <f>R39</f>
        <v>34042866</v>
      </c>
      <c r="G13" s="255"/>
      <c r="H13" s="559"/>
      <c r="I13" s="489">
        <v>10</v>
      </c>
      <c r="J13" s="355">
        <v>42985</v>
      </c>
      <c r="K13" s="355">
        <v>42985</v>
      </c>
      <c r="L13" s="356" t="s">
        <v>894</v>
      </c>
      <c r="M13" s="601">
        <f t="shared" si="3"/>
        <v>1</v>
      </c>
      <c r="N13" s="555">
        <v>4620</v>
      </c>
      <c r="O13" s="555">
        <f t="shared" si="0"/>
        <v>4620</v>
      </c>
      <c r="P13" s="587">
        <f t="shared" si="1"/>
        <v>60060</v>
      </c>
      <c r="Q13" s="357">
        <f t="shared" si="4"/>
        <v>0</v>
      </c>
      <c r="R13" s="357">
        <f t="shared" si="2"/>
        <v>0</v>
      </c>
      <c r="S13" s="357"/>
    </row>
    <row r="14" spans="1:21">
      <c r="A14" s="356">
        <v>11</v>
      </c>
      <c r="B14" s="256" t="s">
        <v>957</v>
      </c>
      <c r="C14" s="310"/>
      <c r="D14" s="255"/>
      <c r="E14" s="255"/>
      <c r="F14" s="254"/>
      <c r="G14" s="255">
        <v>716994000</v>
      </c>
      <c r="H14" s="559"/>
      <c r="I14" s="489">
        <v>11</v>
      </c>
      <c r="J14" s="355">
        <v>42985</v>
      </c>
      <c r="K14" s="355">
        <v>42989</v>
      </c>
      <c r="L14" s="356" t="s">
        <v>942</v>
      </c>
      <c r="M14" s="601">
        <f t="shared" si="3"/>
        <v>5</v>
      </c>
      <c r="N14" s="555">
        <v>577</v>
      </c>
      <c r="O14" s="555">
        <f t="shared" si="0"/>
        <v>577</v>
      </c>
      <c r="P14" s="587">
        <f t="shared" si="1"/>
        <v>7501</v>
      </c>
      <c r="Q14" s="357">
        <f t="shared" si="4"/>
        <v>22000</v>
      </c>
      <c r="R14" s="357">
        <f t="shared" si="2"/>
        <v>825110</v>
      </c>
      <c r="S14" s="357"/>
    </row>
    <row r="15" spans="1:21">
      <c r="A15" s="356">
        <v>12</v>
      </c>
      <c r="B15" s="256" t="s">
        <v>925</v>
      </c>
      <c r="C15" s="310"/>
      <c r="D15" s="255"/>
      <c r="E15" s="255"/>
      <c r="F15" s="254">
        <v>597575</v>
      </c>
      <c r="G15" s="255">
        <v>1086500000</v>
      </c>
      <c r="H15" s="559"/>
      <c r="I15" s="489">
        <v>12</v>
      </c>
      <c r="J15" s="355">
        <v>42985</v>
      </c>
      <c r="K15" s="355">
        <v>42989</v>
      </c>
      <c r="L15" s="356" t="s">
        <v>943</v>
      </c>
      <c r="M15" s="601">
        <f t="shared" si="3"/>
        <v>5</v>
      </c>
      <c r="N15" s="555">
        <v>564</v>
      </c>
      <c r="O15" s="555">
        <f t="shared" si="0"/>
        <v>564</v>
      </c>
      <c r="P15" s="587">
        <f t="shared" si="1"/>
        <v>7332</v>
      </c>
      <c r="Q15" s="357">
        <f t="shared" si="4"/>
        <v>22000</v>
      </c>
      <c r="R15" s="357">
        <f t="shared" si="2"/>
        <v>806520</v>
      </c>
      <c r="S15" s="357"/>
    </row>
    <row r="16" spans="1:21">
      <c r="A16" s="356">
        <v>13</v>
      </c>
      <c r="B16" s="256" t="s">
        <v>926</v>
      </c>
      <c r="C16" s="310"/>
      <c r="D16" s="255"/>
      <c r="E16" s="255"/>
      <c r="F16" s="254">
        <v>686950</v>
      </c>
      <c r="G16" s="255">
        <v>1249000000</v>
      </c>
      <c r="H16" s="559"/>
      <c r="I16" s="489">
        <v>13</v>
      </c>
      <c r="J16" s="355">
        <v>42987</v>
      </c>
      <c r="K16" s="355">
        <v>42989</v>
      </c>
      <c r="L16" s="356" t="s">
        <v>944</v>
      </c>
      <c r="M16" s="601">
        <f t="shared" si="3"/>
        <v>3</v>
      </c>
      <c r="N16" s="555">
        <v>1700</v>
      </c>
      <c r="O16" s="555">
        <f t="shared" si="0"/>
        <v>1700</v>
      </c>
      <c r="P16" s="587">
        <f t="shared" si="1"/>
        <v>22100</v>
      </c>
      <c r="Q16" s="357">
        <f t="shared" si="4"/>
        <v>22000</v>
      </c>
      <c r="R16" s="357">
        <f t="shared" si="2"/>
        <v>1458600</v>
      </c>
      <c r="S16" s="357"/>
    </row>
    <row r="17" spans="1:19">
      <c r="A17" s="356">
        <v>14</v>
      </c>
      <c r="B17" s="256" t="s">
        <v>927</v>
      </c>
      <c r="C17" s="310"/>
      <c r="D17" s="255"/>
      <c r="E17" s="309"/>
      <c r="F17" s="254">
        <f>G17*0.033%</f>
        <v>330000</v>
      </c>
      <c r="G17" s="255">
        <v>1000000000</v>
      </c>
      <c r="H17" s="559"/>
      <c r="I17" s="489">
        <v>14</v>
      </c>
      <c r="J17" s="355">
        <v>42988</v>
      </c>
      <c r="K17" s="355">
        <v>42989</v>
      </c>
      <c r="L17" s="356" t="s">
        <v>945</v>
      </c>
      <c r="M17" s="601">
        <f t="shared" si="3"/>
        <v>2</v>
      </c>
      <c r="N17" s="555">
        <v>187</v>
      </c>
      <c r="O17" s="555">
        <f t="shared" si="0"/>
        <v>187</v>
      </c>
      <c r="P17" s="587">
        <f t="shared" si="1"/>
        <v>2431</v>
      </c>
      <c r="Q17" s="357">
        <f t="shared" si="4"/>
        <v>22000</v>
      </c>
      <c r="R17" s="357">
        <f t="shared" si="2"/>
        <v>106964</v>
      </c>
      <c r="S17" s="357"/>
    </row>
    <row r="18" spans="1:19">
      <c r="A18" s="356">
        <v>15</v>
      </c>
      <c r="B18" s="256" t="s">
        <v>931</v>
      </c>
      <c r="C18" s="310"/>
      <c r="D18" s="255"/>
      <c r="E18" s="255"/>
      <c r="F18" s="254">
        <f t="shared" ref="F18" si="5">G18*0.033%</f>
        <v>488617.8</v>
      </c>
      <c r="G18" s="255">
        <v>1480660000</v>
      </c>
      <c r="H18" s="559"/>
      <c r="I18" s="489">
        <v>15</v>
      </c>
      <c r="J18" s="355">
        <v>42988</v>
      </c>
      <c r="K18" s="355">
        <v>43000</v>
      </c>
      <c r="L18" s="356" t="s">
        <v>945</v>
      </c>
      <c r="M18" s="601">
        <f t="shared" si="3"/>
        <v>13</v>
      </c>
      <c r="N18" s="585">
        <f>876-N17</f>
        <v>689</v>
      </c>
      <c r="O18" s="585">
        <f t="shared" si="0"/>
        <v>689</v>
      </c>
      <c r="P18" s="587">
        <f t="shared" si="1"/>
        <v>8957</v>
      </c>
      <c r="Q18" s="357">
        <f t="shared" si="4"/>
        <v>22000</v>
      </c>
      <c r="R18" s="357">
        <f t="shared" si="2"/>
        <v>2561702</v>
      </c>
      <c r="S18" s="357"/>
    </row>
    <row r="19" spans="1:19">
      <c r="A19" s="356">
        <v>16</v>
      </c>
      <c r="B19" s="256" t="s">
        <v>933</v>
      </c>
      <c r="C19" s="310"/>
      <c r="D19" s="255"/>
      <c r="E19" s="255"/>
      <c r="F19" s="254">
        <v>550000</v>
      </c>
      <c r="G19" s="255">
        <v>1265340000</v>
      </c>
      <c r="H19" s="559"/>
      <c r="I19" s="489">
        <v>16</v>
      </c>
      <c r="J19" s="355">
        <v>42988</v>
      </c>
      <c r="K19" s="355">
        <v>43000</v>
      </c>
      <c r="L19" s="356"/>
      <c r="M19" s="601">
        <f t="shared" si="3"/>
        <v>13</v>
      </c>
      <c r="N19" s="585">
        <v>1351</v>
      </c>
      <c r="O19" s="585">
        <f t="shared" si="0"/>
        <v>1351</v>
      </c>
      <c r="P19" s="587">
        <f t="shared" si="1"/>
        <v>17563</v>
      </c>
      <c r="Q19" s="357">
        <f t="shared" si="4"/>
        <v>22000</v>
      </c>
      <c r="R19" s="357">
        <f t="shared" si="2"/>
        <v>5023018</v>
      </c>
      <c r="S19" s="357"/>
    </row>
    <row r="20" spans="1:19">
      <c r="A20" s="356">
        <v>17</v>
      </c>
      <c r="B20" s="256" t="s">
        <v>932</v>
      </c>
      <c r="C20" s="310"/>
      <c r="D20" s="255"/>
      <c r="E20" s="255"/>
      <c r="F20" s="254">
        <v>511830</v>
      </c>
      <c r="G20" s="255">
        <v>930600000</v>
      </c>
      <c r="H20" s="559"/>
      <c r="I20" s="489">
        <v>17</v>
      </c>
      <c r="J20" s="355">
        <v>42988</v>
      </c>
      <c r="K20" s="355"/>
      <c r="L20" s="356"/>
      <c r="M20" s="601" t="str">
        <f t="shared" si="3"/>
        <v/>
      </c>
      <c r="N20" s="585">
        <f>1475-N19</f>
        <v>124</v>
      </c>
      <c r="O20" s="585">
        <f t="shared" si="0"/>
        <v>0</v>
      </c>
      <c r="P20" s="587">
        <f t="shared" si="1"/>
        <v>1612</v>
      </c>
      <c r="Q20" s="357">
        <f t="shared" si="4"/>
        <v>0</v>
      </c>
      <c r="R20" s="357" t="str">
        <f t="shared" si="2"/>
        <v/>
      </c>
      <c r="S20" s="357"/>
    </row>
    <row r="21" spans="1:19">
      <c r="A21" s="356"/>
      <c r="B21" s="256"/>
      <c r="C21" s="310"/>
      <c r="D21" s="255"/>
      <c r="E21" s="255"/>
      <c r="F21" s="254"/>
      <c r="G21" s="255"/>
      <c r="H21" s="559"/>
      <c r="I21" s="489">
        <v>18</v>
      </c>
      <c r="J21" s="355">
        <v>42988</v>
      </c>
      <c r="K21" s="355"/>
      <c r="L21" s="356"/>
      <c r="M21" s="601" t="str">
        <f t="shared" si="3"/>
        <v/>
      </c>
      <c r="N21" s="585">
        <v>1100</v>
      </c>
      <c r="O21" s="585">
        <f t="shared" si="0"/>
        <v>0</v>
      </c>
      <c r="P21" s="587">
        <f t="shared" si="1"/>
        <v>14300</v>
      </c>
      <c r="Q21" s="357">
        <f t="shared" si="4"/>
        <v>0</v>
      </c>
      <c r="R21" s="357" t="str">
        <f t="shared" si="2"/>
        <v/>
      </c>
      <c r="S21" s="415"/>
    </row>
    <row r="22" spans="1:19">
      <c r="A22" s="356"/>
      <c r="B22" s="256"/>
      <c r="C22" s="310"/>
      <c r="D22" s="255"/>
      <c r="E22" s="255"/>
      <c r="F22" s="254"/>
      <c r="G22" s="255"/>
      <c r="H22" s="559"/>
      <c r="I22" s="489">
        <v>19</v>
      </c>
      <c r="J22" s="355">
        <v>42991</v>
      </c>
      <c r="K22" s="355">
        <v>42991</v>
      </c>
      <c r="L22" s="356" t="s">
        <v>939</v>
      </c>
      <c r="M22" s="601">
        <f t="shared" si="3"/>
        <v>1</v>
      </c>
      <c r="N22" s="577">
        <v>2030</v>
      </c>
      <c r="O22" s="577">
        <f t="shared" si="0"/>
        <v>2030</v>
      </c>
      <c r="P22" s="587">
        <f t="shared" si="1"/>
        <v>26390</v>
      </c>
      <c r="Q22" s="357">
        <f t="shared" si="4"/>
        <v>0</v>
      </c>
      <c r="R22" s="357">
        <f t="shared" si="2"/>
        <v>0</v>
      </c>
    </row>
    <row r="23" spans="1:19">
      <c r="A23" s="376"/>
      <c r="B23" s="376" t="s">
        <v>57</v>
      </c>
      <c r="C23" s="262">
        <f>SUM(C4:C22)</f>
        <v>406406</v>
      </c>
      <c r="D23" s="262"/>
      <c r="E23" s="261">
        <f>SUM(E4:E22)</f>
        <v>9221352140</v>
      </c>
      <c r="F23" s="261">
        <f>SUM(F4:F22)</f>
        <v>1455653793.8</v>
      </c>
      <c r="G23" s="261">
        <f>SUM(G4:G22)</f>
        <v>7729094000</v>
      </c>
      <c r="H23" s="559"/>
      <c r="I23" s="489">
        <v>20</v>
      </c>
      <c r="J23" s="355">
        <v>42993</v>
      </c>
      <c r="K23" s="355">
        <v>42999</v>
      </c>
      <c r="L23" s="356" t="s">
        <v>946</v>
      </c>
      <c r="M23" s="601">
        <f t="shared" si="3"/>
        <v>7</v>
      </c>
      <c r="N23" s="577">
        <v>1000</v>
      </c>
      <c r="O23" s="577">
        <f t="shared" si="0"/>
        <v>1000</v>
      </c>
      <c r="P23" s="587">
        <f t="shared" si="1"/>
        <v>13000</v>
      </c>
      <c r="Q23" s="357">
        <f t="shared" si="4"/>
        <v>22000</v>
      </c>
      <c r="R23" s="357">
        <f t="shared" si="2"/>
        <v>2002000</v>
      </c>
    </row>
    <row r="24" spans="1:19">
      <c r="A24" s="534"/>
      <c r="B24" s="534"/>
      <c r="C24" s="535"/>
      <c r="D24" s="536"/>
      <c r="E24" s="536"/>
      <c r="F24" s="534"/>
      <c r="G24" s="581"/>
      <c r="H24" s="559"/>
      <c r="I24" s="489">
        <v>21</v>
      </c>
      <c r="J24" s="355">
        <v>42993</v>
      </c>
      <c r="K24" s="355">
        <v>42999</v>
      </c>
      <c r="L24" s="356" t="s">
        <v>947</v>
      </c>
      <c r="M24" s="601">
        <f t="shared" si="3"/>
        <v>7</v>
      </c>
      <c r="N24" s="577">
        <v>1030</v>
      </c>
      <c r="O24" s="577">
        <f t="shared" si="0"/>
        <v>1030</v>
      </c>
      <c r="P24" s="587">
        <f t="shared" si="1"/>
        <v>13390</v>
      </c>
      <c r="Q24" s="357">
        <f t="shared" si="4"/>
        <v>22000</v>
      </c>
      <c r="R24" s="357">
        <f t="shared" si="2"/>
        <v>2062060</v>
      </c>
      <c r="S24" s="559"/>
    </row>
    <row r="25" spans="1:19">
      <c r="A25" s="534"/>
      <c r="B25" s="582"/>
      <c r="C25" s="535"/>
      <c r="D25" s="536"/>
      <c r="E25" s="536"/>
      <c r="F25" s="534"/>
      <c r="G25" s="581"/>
      <c r="H25" s="559"/>
      <c r="I25" s="489">
        <v>22</v>
      </c>
      <c r="J25" s="355">
        <v>42994</v>
      </c>
      <c r="K25" s="355">
        <v>42999</v>
      </c>
      <c r="L25" s="356" t="s">
        <v>948</v>
      </c>
      <c r="M25" s="601">
        <f t="shared" si="3"/>
        <v>6</v>
      </c>
      <c r="N25" s="577">
        <v>1030</v>
      </c>
      <c r="O25" s="577">
        <f t="shared" si="0"/>
        <v>1030</v>
      </c>
      <c r="P25" s="578">
        <f t="shared" si="1"/>
        <v>13390</v>
      </c>
      <c r="Q25" s="357">
        <f t="shared" si="4"/>
        <v>22000</v>
      </c>
      <c r="R25" s="357">
        <f t="shared" si="2"/>
        <v>1767480</v>
      </c>
      <c r="S25" s="559"/>
    </row>
    <row r="26" spans="1:19" ht="15" customHeight="1">
      <c r="A26" s="534"/>
      <c r="B26" s="534" t="s">
        <v>929</v>
      </c>
      <c r="C26" s="535">
        <f>C23</f>
        <v>406406</v>
      </c>
      <c r="D26" s="536"/>
      <c r="E26" s="536"/>
      <c r="F26" s="853">
        <f>E23</f>
        <v>9221352140</v>
      </c>
      <c r="G26" s="853"/>
      <c r="H26" s="559"/>
      <c r="I26" s="489">
        <v>23</v>
      </c>
      <c r="J26" s="355">
        <v>42994</v>
      </c>
      <c r="K26" s="355">
        <v>42999</v>
      </c>
      <c r="L26" s="356" t="s">
        <v>949</v>
      </c>
      <c r="M26" s="601">
        <f t="shared" si="3"/>
        <v>6</v>
      </c>
      <c r="N26" s="577">
        <v>1000</v>
      </c>
      <c r="O26" s="577">
        <f t="shared" si="0"/>
        <v>1000</v>
      </c>
      <c r="P26" s="578">
        <f t="shared" si="1"/>
        <v>13000</v>
      </c>
      <c r="Q26" s="357">
        <f t="shared" si="4"/>
        <v>22000</v>
      </c>
      <c r="R26" s="357">
        <f t="shared" si="2"/>
        <v>1716000</v>
      </c>
      <c r="S26" s="559"/>
    </row>
    <row r="27" spans="1:19">
      <c r="A27" s="534"/>
      <c r="B27" s="534"/>
      <c r="C27" s="535"/>
      <c r="D27" s="536"/>
      <c r="E27" s="536"/>
      <c r="F27" s="534"/>
      <c r="G27" s="581"/>
      <c r="H27" s="559"/>
      <c r="I27" s="489">
        <v>24</v>
      </c>
      <c r="J27" s="355">
        <v>42994</v>
      </c>
      <c r="K27" s="355">
        <v>42999</v>
      </c>
      <c r="L27" s="356" t="s">
        <v>950</v>
      </c>
      <c r="M27" s="601">
        <f t="shared" si="3"/>
        <v>6</v>
      </c>
      <c r="N27" s="577">
        <v>2030</v>
      </c>
      <c r="O27" s="577">
        <f t="shared" si="0"/>
        <v>2030</v>
      </c>
      <c r="P27" s="578">
        <f t="shared" si="1"/>
        <v>26390</v>
      </c>
      <c r="Q27" s="357">
        <f t="shared" si="4"/>
        <v>22000</v>
      </c>
      <c r="R27" s="357">
        <f t="shared" si="2"/>
        <v>3483480</v>
      </c>
      <c r="S27" s="559"/>
    </row>
    <row r="28" spans="1:19">
      <c r="A28" s="583"/>
      <c r="B28" s="583" t="s">
        <v>961</v>
      </c>
      <c r="C28" s="583"/>
      <c r="D28" s="583"/>
      <c r="E28" s="583"/>
      <c r="F28" s="853">
        <f>F23</f>
        <v>1455653793.8</v>
      </c>
      <c r="G28" s="853"/>
      <c r="H28" s="559"/>
      <c r="I28" s="489">
        <v>25</v>
      </c>
      <c r="J28" s="355">
        <v>42995</v>
      </c>
      <c r="K28" s="355">
        <v>42999</v>
      </c>
      <c r="L28" s="356" t="s">
        <v>951</v>
      </c>
      <c r="M28" s="601">
        <f t="shared" si="3"/>
        <v>5</v>
      </c>
      <c r="N28" s="577">
        <v>2030</v>
      </c>
      <c r="O28" s="577">
        <f t="shared" si="0"/>
        <v>2030</v>
      </c>
      <c r="P28" s="578">
        <f t="shared" si="1"/>
        <v>26390</v>
      </c>
      <c r="Q28" s="357">
        <f t="shared" si="4"/>
        <v>22000</v>
      </c>
      <c r="R28" s="357">
        <f t="shared" si="2"/>
        <v>2902900</v>
      </c>
      <c r="S28" s="559"/>
    </row>
    <row r="29" spans="1:19">
      <c r="A29" s="583"/>
      <c r="B29" s="583"/>
      <c r="C29" s="583"/>
      <c r="D29" s="583"/>
      <c r="E29" s="583"/>
      <c r="F29" s="583"/>
      <c r="G29" s="583"/>
      <c r="H29" s="559"/>
      <c r="I29" s="489">
        <v>26</v>
      </c>
      <c r="J29" s="355">
        <v>42996</v>
      </c>
      <c r="K29" s="355"/>
      <c r="L29" s="356" t="s">
        <v>952</v>
      </c>
      <c r="M29" s="601" t="str">
        <f t="shared" si="3"/>
        <v/>
      </c>
      <c r="N29" s="577">
        <f>1440</f>
        <v>1440</v>
      </c>
      <c r="O29" s="577">
        <f t="shared" si="0"/>
        <v>0</v>
      </c>
      <c r="P29" s="578">
        <f t="shared" si="1"/>
        <v>18720</v>
      </c>
      <c r="Q29" s="357">
        <f t="shared" si="4"/>
        <v>0</v>
      </c>
      <c r="R29" s="357" t="str">
        <f t="shared" si="2"/>
        <v/>
      </c>
      <c r="S29" s="559"/>
    </row>
    <row r="30" spans="1:19">
      <c r="A30" s="583"/>
      <c r="B30" s="583"/>
      <c r="C30" s="583"/>
      <c r="D30" s="583"/>
      <c r="E30" s="583"/>
      <c r="F30" s="583"/>
      <c r="G30" s="583"/>
      <c r="H30" s="559"/>
      <c r="I30" s="489">
        <v>27</v>
      </c>
      <c r="J30" s="355">
        <v>42996</v>
      </c>
      <c r="K30" s="355"/>
      <c r="L30" s="356" t="s">
        <v>941</v>
      </c>
      <c r="M30" s="601" t="str">
        <f t="shared" si="3"/>
        <v/>
      </c>
      <c r="N30" s="577">
        <v>1386</v>
      </c>
      <c r="O30" s="577">
        <f t="shared" si="0"/>
        <v>0</v>
      </c>
      <c r="P30" s="578">
        <f t="shared" si="1"/>
        <v>18018</v>
      </c>
      <c r="Q30" s="357">
        <f t="shared" si="4"/>
        <v>0</v>
      </c>
      <c r="R30" s="357" t="str">
        <f t="shared" si="2"/>
        <v/>
      </c>
      <c r="S30" s="559"/>
    </row>
    <row r="31" spans="1:19">
      <c r="A31" s="583"/>
      <c r="B31" s="583" t="s">
        <v>960</v>
      </c>
      <c r="C31" s="583"/>
      <c r="D31" s="583"/>
      <c r="E31" s="583"/>
      <c r="F31" s="853">
        <f>G23</f>
        <v>7729094000</v>
      </c>
      <c r="G31" s="853"/>
      <c r="H31" s="559"/>
      <c r="I31" s="489">
        <v>28</v>
      </c>
      <c r="J31" s="355">
        <v>43000</v>
      </c>
      <c r="K31" s="355">
        <v>43000</v>
      </c>
      <c r="L31" s="356" t="s">
        <v>953</v>
      </c>
      <c r="M31" s="601">
        <f t="shared" si="3"/>
        <v>1</v>
      </c>
      <c r="N31" s="577">
        <v>1000</v>
      </c>
      <c r="O31" s="577">
        <f t="shared" si="0"/>
        <v>1000</v>
      </c>
      <c r="P31" s="578">
        <f t="shared" si="1"/>
        <v>13000</v>
      </c>
      <c r="Q31" s="357">
        <f t="shared" si="4"/>
        <v>0</v>
      </c>
      <c r="R31" s="357">
        <f t="shared" si="2"/>
        <v>0</v>
      </c>
      <c r="S31" s="559"/>
    </row>
    <row r="32" spans="1:19">
      <c r="A32" s="560"/>
      <c r="B32" s="560"/>
      <c r="C32" s="560"/>
      <c r="D32" s="560"/>
      <c r="E32" s="560"/>
      <c r="F32" s="854"/>
      <c r="G32" s="854"/>
      <c r="H32" s="559"/>
      <c r="I32" s="489">
        <v>29</v>
      </c>
      <c r="J32" s="355">
        <v>43000</v>
      </c>
      <c r="K32" s="355">
        <v>43000</v>
      </c>
      <c r="L32" s="356" t="s">
        <v>949</v>
      </c>
      <c r="M32" s="601">
        <f t="shared" si="3"/>
        <v>1</v>
      </c>
      <c r="N32" s="577">
        <v>1020</v>
      </c>
      <c r="O32" s="577">
        <f t="shared" si="0"/>
        <v>1020</v>
      </c>
      <c r="P32" s="578">
        <f t="shared" si="1"/>
        <v>13260</v>
      </c>
      <c r="Q32" s="357">
        <f t="shared" si="4"/>
        <v>0</v>
      </c>
      <c r="R32" s="357">
        <f t="shared" si="2"/>
        <v>0</v>
      </c>
      <c r="S32" s="559"/>
    </row>
    <row r="33" spans="1:21">
      <c r="A33" s="560"/>
      <c r="B33" s="560"/>
      <c r="C33" s="560"/>
      <c r="D33" s="560"/>
      <c r="E33" s="560"/>
      <c r="F33" s="853"/>
      <c r="G33" s="853"/>
      <c r="H33" s="559"/>
      <c r="I33" s="489">
        <v>30</v>
      </c>
      <c r="J33" s="355">
        <v>43001</v>
      </c>
      <c r="K33" s="355"/>
      <c r="L33" s="356" t="s">
        <v>556</v>
      </c>
      <c r="M33" s="601" t="str">
        <f t="shared" si="3"/>
        <v/>
      </c>
      <c r="N33" s="577">
        <v>1983</v>
      </c>
      <c r="O33" s="577">
        <f t="shared" si="0"/>
        <v>0</v>
      </c>
      <c r="P33" s="578">
        <f t="shared" si="1"/>
        <v>25779</v>
      </c>
      <c r="Q33" s="357">
        <f t="shared" si="4"/>
        <v>0</v>
      </c>
      <c r="R33" s="357" t="str">
        <f t="shared" si="2"/>
        <v/>
      </c>
      <c r="S33" s="559"/>
    </row>
    <row r="34" spans="1:21">
      <c r="A34" s="559"/>
      <c r="B34" s="560" t="s">
        <v>930</v>
      </c>
      <c r="C34" s="559"/>
      <c r="D34" s="559"/>
      <c r="E34" s="559"/>
      <c r="F34" s="853">
        <f>F26-F28-F31</f>
        <v>36604346.199999809</v>
      </c>
      <c r="G34" s="853"/>
      <c r="H34" s="559"/>
      <c r="I34" s="489">
        <v>31</v>
      </c>
      <c r="J34" s="355">
        <v>43001</v>
      </c>
      <c r="K34" s="355"/>
      <c r="L34" s="589" t="s">
        <v>938</v>
      </c>
      <c r="M34" s="601" t="str">
        <f t="shared" si="3"/>
        <v/>
      </c>
      <c r="N34" s="577">
        <v>1574</v>
      </c>
      <c r="O34" s="577">
        <f t="shared" si="0"/>
        <v>0</v>
      </c>
      <c r="P34" s="578">
        <f t="shared" si="1"/>
        <v>20462</v>
      </c>
      <c r="Q34" s="357">
        <f t="shared" si="4"/>
        <v>0</v>
      </c>
      <c r="R34" s="357" t="str">
        <f t="shared" si="2"/>
        <v/>
      </c>
      <c r="S34" s="559"/>
    </row>
    <row r="35" spans="1:21">
      <c r="A35" s="559"/>
      <c r="B35" s="559"/>
      <c r="C35" s="559"/>
      <c r="D35" s="559"/>
      <c r="E35" s="559"/>
      <c r="F35" s="559"/>
      <c r="G35" s="559"/>
      <c r="H35" s="559"/>
      <c r="I35" s="489">
        <v>32</v>
      </c>
      <c r="J35" s="355">
        <v>43002</v>
      </c>
      <c r="K35" s="355"/>
      <c r="L35" s="356" t="s">
        <v>954</v>
      </c>
      <c r="M35" s="601" t="str">
        <f t="shared" si="3"/>
        <v/>
      </c>
      <c r="N35" s="577">
        <v>1741</v>
      </c>
      <c r="O35" s="577">
        <f t="shared" si="0"/>
        <v>0</v>
      </c>
      <c r="P35" s="578">
        <f t="shared" si="1"/>
        <v>22633</v>
      </c>
      <c r="Q35" s="357">
        <f t="shared" si="4"/>
        <v>0</v>
      </c>
      <c r="R35" s="357" t="str">
        <f t="shared" si="2"/>
        <v/>
      </c>
      <c r="S35" s="559"/>
      <c r="U35" s="563"/>
    </row>
    <row r="36" spans="1:21">
      <c r="A36" s="559"/>
      <c r="B36" s="559"/>
      <c r="C36" s="559"/>
      <c r="D36" s="559"/>
      <c r="E36" s="559"/>
      <c r="F36" s="559"/>
      <c r="G36" s="559"/>
      <c r="H36" s="559"/>
      <c r="I36" s="489">
        <v>33</v>
      </c>
      <c r="J36" s="355">
        <v>43003</v>
      </c>
      <c r="K36" s="355"/>
      <c r="L36" s="356" t="s">
        <v>955</v>
      </c>
      <c r="M36" s="601" t="str">
        <f t="shared" si="3"/>
        <v/>
      </c>
      <c r="N36" s="577">
        <v>812</v>
      </c>
      <c r="O36" s="577">
        <f t="shared" si="0"/>
        <v>0</v>
      </c>
      <c r="P36" s="578">
        <f t="shared" si="1"/>
        <v>10556</v>
      </c>
      <c r="Q36" s="357">
        <f t="shared" si="4"/>
        <v>0</v>
      </c>
      <c r="R36" s="357" t="str">
        <f t="shared" si="2"/>
        <v/>
      </c>
      <c r="S36" s="559"/>
      <c r="U36" s="306"/>
    </row>
    <row r="37" spans="1:21" s="534" customFormat="1">
      <c r="A37" s="559"/>
      <c r="B37" s="559"/>
      <c r="C37" s="559"/>
      <c r="D37" s="559"/>
      <c r="E37" s="559"/>
      <c r="F37" s="559"/>
      <c r="G37" s="559"/>
      <c r="H37" s="560"/>
      <c r="I37" s="489">
        <v>34</v>
      </c>
      <c r="J37" s="355">
        <v>43004</v>
      </c>
      <c r="K37" s="355"/>
      <c r="L37" s="356" t="s">
        <v>956</v>
      </c>
      <c r="M37" s="601" t="str">
        <f t="shared" si="3"/>
        <v/>
      </c>
      <c r="N37" s="585">
        <v>2030</v>
      </c>
      <c r="O37" s="585">
        <f t="shared" si="0"/>
        <v>0</v>
      </c>
      <c r="P37" s="587">
        <f t="shared" si="1"/>
        <v>26390</v>
      </c>
      <c r="Q37" s="357">
        <f t="shared" si="4"/>
        <v>0</v>
      </c>
      <c r="R37" s="357" t="str">
        <f t="shared" si="2"/>
        <v/>
      </c>
      <c r="S37" s="560"/>
      <c r="U37" s="562"/>
    </row>
    <row r="38" spans="1:21">
      <c r="A38" s="559"/>
      <c r="B38" s="559"/>
      <c r="C38" s="559"/>
      <c r="D38" s="559"/>
      <c r="E38" s="559"/>
      <c r="F38" s="559"/>
      <c r="G38" s="559"/>
      <c r="H38" s="559"/>
      <c r="I38" s="489"/>
      <c r="J38" s="355"/>
      <c r="K38" s="355"/>
      <c r="L38" s="356"/>
      <c r="M38" s="601"/>
      <c r="N38" s="585"/>
      <c r="O38" s="585">
        <f t="shared" si="0"/>
        <v>0</v>
      </c>
      <c r="P38" s="587">
        <f t="shared" si="1"/>
        <v>0</v>
      </c>
      <c r="Q38" s="357">
        <f t="shared" si="4"/>
        <v>0</v>
      </c>
      <c r="R38" s="357" t="str">
        <f t="shared" si="2"/>
        <v/>
      </c>
      <c r="S38" s="559"/>
    </row>
    <row r="39" spans="1:21">
      <c r="A39" s="559"/>
      <c r="B39" s="559"/>
      <c r="C39" s="559"/>
      <c r="D39" s="559"/>
      <c r="E39" s="559"/>
      <c r="F39" s="559"/>
      <c r="G39" s="559"/>
      <c r="H39" s="559"/>
      <c r="I39" s="414"/>
      <c r="J39" s="414"/>
      <c r="K39" s="414"/>
      <c r="L39" s="414" t="s">
        <v>19</v>
      </c>
      <c r="M39" s="414"/>
      <c r="N39" s="415">
        <f>SUM(N4:N38)</f>
        <v>48330</v>
      </c>
      <c r="O39" s="415">
        <f t="shared" ref="O39:P39" si="6">SUM(O4:O38)</f>
        <v>36140</v>
      </c>
      <c r="P39" s="415">
        <f t="shared" si="6"/>
        <v>628290</v>
      </c>
      <c r="Q39" s="415"/>
      <c r="R39" s="415">
        <f>SUM(R4:R38)</f>
        <v>34042866</v>
      </c>
      <c r="S39" s="559"/>
    </row>
    <row r="40" spans="1:21">
      <c r="A40" s="559"/>
      <c r="B40" s="559"/>
      <c r="C40" s="559"/>
      <c r="D40" s="559"/>
      <c r="E40" s="559"/>
      <c r="F40" s="559"/>
      <c r="G40" s="559"/>
      <c r="H40" s="559"/>
      <c r="L40" s="352" t="s">
        <v>845</v>
      </c>
      <c r="M40" s="860">
        <f>N39-O39</f>
        <v>12190</v>
      </c>
      <c r="N40" s="860"/>
      <c r="O40" s="860"/>
      <c r="S40" s="559"/>
    </row>
    <row r="41" spans="1:21" ht="15" customHeight="1">
      <c r="A41" s="559"/>
      <c r="B41" s="559"/>
      <c r="C41" s="559"/>
      <c r="D41" s="559"/>
      <c r="E41" s="559"/>
      <c r="F41" s="559"/>
      <c r="G41" s="559"/>
      <c r="H41" s="559"/>
      <c r="S41" s="559"/>
    </row>
    <row r="42" spans="1:21">
      <c r="G42" s="559"/>
      <c r="H42" s="559"/>
      <c r="J42" s="352" t="s">
        <v>898</v>
      </c>
      <c r="K42" s="353"/>
      <c r="L42" s="354"/>
      <c r="M42" s="353"/>
      <c r="N42" s="353"/>
      <c r="O42" s="353"/>
      <c r="P42" s="353"/>
      <c r="Q42" s="353"/>
      <c r="R42" s="353"/>
      <c r="S42" s="559"/>
    </row>
    <row r="43" spans="1:21" ht="15" customHeight="1">
      <c r="G43" s="559"/>
      <c r="H43" s="559"/>
      <c r="I43" s="803" t="s">
        <v>0</v>
      </c>
      <c r="J43" s="803" t="s">
        <v>30</v>
      </c>
      <c r="K43" s="803" t="s">
        <v>725</v>
      </c>
      <c r="L43" s="803" t="s">
        <v>103</v>
      </c>
      <c r="M43" s="803" t="s">
        <v>32</v>
      </c>
      <c r="N43" s="805" t="s">
        <v>83</v>
      </c>
      <c r="O43" s="806"/>
      <c r="P43" s="813" t="s">
        <v>33</v>
      </c>
      <c r="Q43" s="815" t="s">
        <v>106</v>
      </c>
      <c r="R43" s="815" t="s">
        <v>9</v>
      </c>
      <c r="S43" s="559"/>
    </row>
    <row r="44" spans="1:21" ht="28.5">
      <c r="A44" s="579" t="s">
        <v>0</v>
      </c>
      <c r="B44" s="579" t="s">
        <v>21</v>
      </c>
      <c r="C44" s="861" t="s">
        <v>798</v>
      </c>
      <c r="D44" s="862"/>
      <c r="E44" s="580" t="s">
        <v>799</v>
      </c>
      <c r="F44" s="580" t="s">
        <v>800</v>
      </c>
      <c r="G44" s="559"/>
      <c r="H44" s="559"/>
      <c r="I44" s="803"/>
      <c r="J44" s="803"/>
      <c r="K44" s="803"/>
      <c r="L44" s="803"/>
      <c r="M44" s="803"/>
      <c r="N44" s="807"/>
      <c r="O44" s="808"/>
      <c r="P44" s="814"/>
      <c r="Q44" s="815"/>
      <c r="R44" s="815"/>
      <c r="S44" s="559"/>
    </row>
    <row r="45" spans="1:21">
      <c r="A45" s="489">
        <v>1</v>
      </c>
      <c r="B45" s="253" t="s">
        <v>801</v>
      </c>
      <c r="C45" s="863">
        <v>3720000000</v>
      </c>
      <c r="D45" s="864"/>
      <c r="E45" s="255">
        <f>C45*D45</f>
        <v>0</v>
      </c>
      <c r="F45" s="476"/>
      <c r="G45" s="559"/>
      <c r="H45" s="559"/>
      <c r="I45" s="489">
        <v>1</v>
      </c>
      <c r="J45" s="355">
        <v>42940</v>
      </c>
      <c r="K45" s="355">
        <v>42972</v>
      </c>
      <c r="L45" s="356"/>
      <c r="M45" s="356">
        <f t="shared" ref="M45:M50" si="7">IF(K45&lt;&gt;"",K45-J45+1,"")</f>
        <v>33</v>
      </c>
      <c r="N45" s="555">
        <v>4370</v>
      </c>
      <c r="O45" s="555">
        <f t="shared" ref="O45:O50" si="8">IF(K45&lt;&gt;"",N45,0)</f>
        <v>4370</v>
      </c>
      <c r="P45" s="556">
        <f t="shared" ref="P45:P50" si="9">N45*13</f>
        <v>56810</v>
      </c>
      <c r="Q45" s="357">
        <f t="shared" ref="Q45:Q50" si="10">IF(M45&lt;&gt;"",20000,0)</f>
        <v>20000</v>
      </c>
      <c r="R45" s="357">
        <f>IF(M45&lt;&gt;"",Q45*P45*M45/1000,"")</f>
        <v>37494600</v>
      </c>
      <c r="S45" s="559"/>
    </row>
    <row r="46" spans="1:21">
      <c r="A46" s="489">
        <v>2</v>
      </c>
      <c r="B46" s="256" t="s">
        <v>931</v>
      </c>
      <c r="C46" s="858"/>
      <c r="D46" s="859"/>
      <c r="E46" s="255">
        <v>1480660000</v>
      </c>
      <c r="F46" s="477"/>
      <c r="G46" s="559"/>
      <c r="H46" s="559"/>
      <c r="I46" s="489">
        <v>2</v>
      </c>
      <c r="J46" s="355">
        <v>42942</v>
      </c>
      <c r="K46" s="355">
        <v>42972</v>
      </c>
      <c r="L46" s="356"/>
      <c r="M46" s="356">
        <f t="shared" si="7"/>
        <v>31</v>
      </c>
      <c r="N46" s="555">
        <v>4961</v>
      </c>
      <c r="O46" s="555">
        <f t="shared" si="8"/>
        <v>4961</v>
      </c>
      <c r="P46" s="556">
        <f t="shared" si="9"/>
        <v>64493</v>
      </c>
      <c r="Q46" s="357">
        <f t="shared" si="10"/>
        <v>20000</v>
      </c>
      <c r="R46" s="357">
        <f t="shared" ref="R46:R49" si="11">IF(M46&lt;&gt;"",Q46*P46*M46/1000,"")</f>
        <v>39985660</v>
      </c>
      <c r="S46" s="559"/>
    </row>
    <row r="47" spans="1:21">
      <c r="A47" s="489">
        <v>3</v>
      </c>
      <c r="B47" s="256" t="s">
        <v>933</v>
      </c>
      <c r="C47" s="858"/>
      <c r="D47" s="859"/>
      <c r="E47" s="255">
        <v>1265340000</v>
      </c>
      <c r="F47" s="477"/>
      <c r="G47" s="559"/>
      <c r="H47" s="559"/>
      <c r="I47" s="489">
        <v>3</v>
      </c>
      <c r="J47" s="355">
        <v>42960</v>
      </c>
      <c r="K47" s="355">
        <v>42972</v>
      </c>
      <c r="L47" s="356"/>
      <c r="M47" s="356">
        <f t="shared" si="7"/>
        <v>13</v>
      </c>
      <c r="N47" s="555">
        <v>2497</v>
      </c>
      <c r="O47" s="555">
        <f t="shared" si="8"/>
        <v>2497</v>
      </c>
      <c r="P47" s="556">
        <f t="shared" si="9"/>
        <v>32461</v>
      </c>
      <c r="Q47" s="357">
        <f t="shared" si="10"/>
        <v>20000</v>
      </c>
      <c r="R47" s="357">
        <f t="shared" si="11"/>
        <v>8439860</v>
      </c>
      <c r="S47" s="559"/>
    </row>
    <row r="48" spans="1:21">
      <c r="A48" s="489">
        <v>4</v>
      </c>
      <c r="B48" s="256" t="s">
        <v>932</v>
      </c>
      <c r="C48" s="858"/>
      <c r="D48" s="859"/>
      <c r="E48" s="255">
        <v>930600000</v>
      </c>
      <c r="F48" s="477"/>
      <c r="G48" s="559"/>
      <c r="H48" s="559"/>
      <c r="I48" s="489">
        <v>4</v>
      </c>
      <c r="J48" s="355">
        <v>42967</v>
      </c>
      <c r="K48" s="355">
        <v>42972</v>
      </c>
      <c r="L48" s="356"/>
      <c r="M48" s="356">
        <f t="shared" si="7"/>
        <v>6</v>
      </c>
      <c r="N48" s="555">
        <v>1000</v>
      </c>
      <c r="O48" s="555">
        <f t="shared" si="8"/>
        <v>1000</v>
      </c>
      <c r="P48" s="556">
        <f t="shared" si="9"/>
        <v>13000</v>
      </c>
      <c r="Q48" s="357">
        <f t="shared" si="10"/>
        <v>20000</v>
      </c>
      <c r="R48" s="357">
        <f t="shared" si="11"/>
        <v>1560000</v>
      </c>
      <c r="S48" s="559"/>
    </row>
    <row r="49" spans="1:19">
      <c r="A49" s="489">
        <v>5</v>
      </c>
      <c r="B49" s="256" t="s">
        <v>934</v>
      </c>
      <c r="C49" s="858"/>
      <c r="D49" s="859"/>
      <c r="E49" s="255">
        <v>32316250</v>
      </c>
      <c r="F49" s="477"/>
      <c r="G49" s="559"/>
      <c r="H49" s="559"/>
      <c r="I49" s="489">
        <v>5</v>
      </c>
      <c r="J49" s="355">
        <v>42971</v>
      </c>
      <c r="K49" s="355">
        <v>42972</v>
      </c>
      <c r="L49" s="356"/>
      <c r="M49" s="356">
        <f t="shared" si="7"/>
        <v>2</v>
      </c>
      <c r="N49" s="555">
        <v>210</v>
      </c>
      <c r="O49" s="555">
        <f t="shared" si="8"/>
        <v>210</v>
      </c>
      <c r="P49" s="556">
        <f t="shared" si="9"/>
        <v>2730</v>
      </c>
      <c r="Q49" s="357">
        <f t="shared" si="10"/>
        <v>20000</v>
      </c>
      <c r="R49" s="357">
        <f t="shared" si="11"/>
        <v>109200</v>
      </c>
      <c r="S49" s="559"/>
    </row>
    <row r="50" spans="1:19">
      <c r="A50" s="329"/>
      <c r="B50" s="253"/>
      <c r="C50" s="863"/>
      <c r="D50" s="864"/>
      <c r="E50" s="255"/>
      <c r="F50" s="478"/>
      <c r="G50" s="559"/>
      <c r="H50" s="559"/>
      <c r="I50" s="489"/>
      <c r="J50" s="355"/>
      <c r="K50" s="355"/>
      <c r="L50" s="356"/>
      <c r="M50" s="356" t="str">
        <f t="shared" si="7"/>
        <v/>
      </c>
      <c r="N50" s="555"/>
      <c r="O50" s="555">
        <f t="shared" si="8"/>
        <v>0</v>
      </c>
      <c r="P50" s="556">
        <f t="shared" si="9"/>
        <v>0</v>
      </c>
      <c r="Q50" s="357">
        <f t="shared" si="10"/>
        <v>0</v>
      </c>
      <c r="R50" s="357" t="str">
        <f>IF(M50&lt;&gt;"",Q50*P50*#REF!/1000,"")</f>
        <v/>
      </c>
      <c r="S50" s="559"/>
    </row>
    <row r="51" spans="1:19">
      <c r="A51" s="376"/>
      <c r="B51" s="376" t="s">
        <v>57</v>
      </c>
      <c r="C51" s="856">
        <f>SUM(C45:C50)</f>
        <v>3720000000</v>
      </c>
      <c r="D51" s="857"/>
      <c r="E51" s="378">
        <f>SUM(E45:E50)</f>
        <v>3708916250</v>
      </c>
      <c r="F51" s="364">
        <f>C51-E51</f>
        <v>11083750</v>
      </c>
      <c r="G51" s="559"/>
      <c r="H51" s="559"/>
      <c r="I51" s="414"/>
      <c r="J51" s="414"/>
      <c r="K51" s="414"/>
      <c r="L51" s="414" t="s">
        <v>19</v>
      </c>
      <c r="M51" s="414"/>
      <c r="N51" s="413">
        <f>SUM(N45:N50)</f>
        <v>13038</v>
      </c>
      <c r="O51" s="413">
        <f>SUM(O45:O50)</f>
        <v>13038</v>
      </c>
      <c r="P51" s="413">
        <f>SUM(P45:P50)</f>
        <v>169494</v>
      </c>
      <c r="Q51" s="413"/>
      <c r="R51" s="415">
        <f>SUM(R45:R50)</f>
        <v>87589320</v>
      </c>
      <c r="S51" s="559"/>
    </row>
    <row r="52" spans="1:19">
      <c r="G52" s="559"/>
      <c r="H52" s="559"/>
      <c r="L52" s="352"/>
      <c r="M52" s="603"/>
      <c r="N52" s="557" t="s">
        <v>899</v>
      </c>
      <c r="O52" s="557"/>
      <c r="R52" s="537">
        <f>P51*15</f>
        <v>2542410</v>
      </c>
      <c r="S52" s="559"/>
    </row>
    <row r="53" spans="1:19">
      <c r="G53" s="559"/>
      <c r="H53" s="559"/>
      <c r="R53" s="558"/>
      <c r="S53" s="559"/>
    </row>
    <row r="54" spans="1:19">
      <c r="G54" s="559"/>
      <c r="H54" s="559"/>
      <c r="I54" s="560"/>
      <c r="J54" s="560"/>
      <c r="K54" s="560"/>
      <c r="L54" s="560"/>
      <c r="M54" s="560"/>
      <c r="N54" s="560" t="s">
        <v>900</v>
      </c>
      <c r="O54" s="560"/>
      <c r="P54" s="560"/>
      <c r="Q54" s="560"/>
      <c r="R54" s="561">
        <f>R51+R52</f>
        <v>90131730</v>
      </c>
      <c r="S54" s="559"/>
    </row>
    <row r="55" spans="1:19">
      <c r="A55" s="559"/>
      <c r="B55" s="559"/>
      <c r="C55" s="559"/>
      <c r="D55" s="559"/>
      <c r="E55" s="559"/>
      <c r="F55" s="559"/>
      <c r="G55" s="559"/>
      <c r="H55" s="559"/>
      <c r="I55" s="559"/>
      <c r="J55" s="559"/>
      <c r="K55" s="559"/>
      <c r="L55" s="559"/>
      <c r="M55" s="559"/>
      <c r="N55" s="559"/>
      <c r="O55" s="559"/>
      <c r="P55" s="559"/>
      <c r="Q55" s="559"/>
      <c r="R55" s="559"/>
      <c r="S55" s="559"/>
    </row>
    <row r="56" spans="1:19">
      <c r="A56" s="559"/>
      <c r="B56" s="559"/>
      <c r="C56" s="559"/>
      <c r="D56" s="559"/>
      <c r="E56" s="559"/>
      <c r="F56" s="559"/>
      <c r="G56" s="559"/>
      <c r="H56" s="559"/>
      <c r="J56" s="352" t="s">
        <v>29</v>
      </c>
      <c r="K56" s="353"/>
      <c r="L56" s="354"/>
      <c r="M56" s="353"/>
      <c r="N56" s="353"/>
      <c r="O56" s="353"/>
      <c r="P56" s="353"/>
      <c r="Q56" s="353"/>
      <c r="R56" s="353"/>
      <c r="S56" s="559"/>
    </row>
    <row r="57" spans="1:19" ht="22.5" customHeight="1">
      <c r="A57" s="803" t="s">
        <v>0</v>
      </c>
      <c r="B57" s="803" t="s">
        <v>21</v>
      </c>
      <c r="C57" s="855" t="s">
        <v>50</v>
      </c>
      <c r="D57" s="815" t="s">
        <v>51</v>
      </c>
      <c r="E57" s="815" t="s">
        <v>9</v>
      </c>
      <c r="F57" s="815" t="s">
        <v>117</v>
      </c>
      <c r="G57" s="815" t="s">
        <v>52</v>
      </c>
      <c r="H57" s="559"/>
      <c r="I57" s="803" t="s">
        <v>0</v>
      </c>
      <c r="J57" s="803" t="s">
        <v>30</v>
      </c>
      <c r="K57" s="803" t="s">
        <v>31</v>
      </c>
      <c r="L57" s="803" t="s">
        <v>103</v>
      </c>
      <c r="M57" s="803" t="s">
        <v>32</v>
      </c>
      <c r="N57" s="805" t="s">
        <v>83</v>
      </c>
      <c r="O57" s="806"/>
      <c r="P57" s="813" t="s">
        <v>33</v>
      </c>
      <c r="Q57" s="815" t="s">
        <v>106</v>
      </c>
      <c r="R57" s="815" t="s">
        <v>9</v>
      </c>
      <c r="S57" s="559"/>
    </row>
    <row r="58" spans="1:19" ht="22.5" customHeight="1">
      <c r="A58" s="803"/>
      <c r="B58" s="803"/>
      <c r="C58" s="855"/>
      <c r="D58" s="815"/>
      <c r="E58" s="815"/>
      <c r="F58" s="815"/>
      <c r="G58" s="815"/>
      <c r="H58" s="559"/>
      <c r="I58" s="803"/>
      <c r="J58" s="803"/>
      <c r="K58" s="803"/>
      <c r="L58" s="803"/>
      <c r="M58" s="803"/>
      <c r="N58" s="807"/>
      <c r="O58" s="808"/>
      <c r="P58" s="814"/>
      <c r="Q58" s="815"/>
      <c r="R58" s="815"/>
      <c r="S58" s="559"/>
    </row>
    <row r="59" spans="1:19">
      <c r="A59" s="356">
        <v>1</v>
      </c>
      <c r="B59" s="264" t="s">
        <v>1113</v>
      </c>
      <c r="C59" s="510">
        <v>174174</v>
      </c>
      <c r="D59" s="511">
        <v>22690</v>
      </c>
      <c r="E59" s="511">
        <f>C59*D59</f>
        <v>3952008060</v>
      </c>
      <c r="F59" s="512"/>
      <c r="G59" s="511"/>
      <c r="H59" s="559"/>
      <c r="I59" s="489">
        <v>1</v>
      </c>
      <c r="J59" s="355">
        <v>42988</v>
      </c>
      <c r="K59" s="355">
        <v>43008</v>
      </c>
      <c r="L59" s="356"/>
      <c r="M59" s="601">
        <f t="shared" ref="M59:M67" si="12">IF(K59&lt;&gt;"",K59-J59+1,"")</f>
        <v>21</v>
      </c>
      <c r="N59" s="601">
        <v>114</v>
      </c>
      <c r="O59" s="601">
        <f t="shared" ref="O59:O67" si="13">IF(K59&lt;&gt;"",N59,0)</f>
        <v>114</v>
      </c>
      <c r="P59" s="602">
        <f t="shared" ref="P59:P67" si="14">N59*13</f>
        <v>1482</v>
      </c>
      <c r="Q59" s="357">
        <f t="shared" ref="Q59:Q67" si="15">IF(OR(M59="",M59=1),0,22000)</f>
        <v>22000</v>
      </c>
      <c r="R59" s="357">
        <f t="shared" ref="R59:R67" si="16">IF(M59&lt;&gt;"",Q59*P59*M59/1000,"")</f>
        <v>684684</v>
      </c>
      <c r="S59" s="559"/>
    </row>
    <row r="60" spans="1:19">
      <c r="A60" s="356">
        <v>2</v>
      </c>
      <c r="B60" s="264" t="s">
        <v>1018</v>
      </c>
      <c r="C60" s="510"/>
      <c r="D60" s="511"/>
      <c r="E60" s="511">
        <v>9000000</v>
      </c>
      <c r="F60" s="512"/>
      <c r="G60" s="511"/>
      <c r="H60" s="559"/>
      <c r="I60" s="489">
        <v>2</v>
      </c>
      <c r="J60" s="355">
        <v>42988</v>
      </c>
      <c r="K60" s="355">
        <v>43008</v>
      </c>
      <c r="L60" s="356"/>
      <c r="M60" s="601">
        <f t="shared" si="12"/>
        <v>21</v>
      </c>
      <c r="N60" s="601">
        <v>1100</v>
      </c>
      <c r="O60" s="601">
        <f t="shared" si="13"/>
        <v>1100</v>
      </c>
      <c r="P60" s="602">
        <f t="shared" si="14"/>
        <v>14300</v>
      </c>
      <c r="Q60" s="357">
        <f t="shared" si="15"/>
        <v>22000</v>
      </c>
      <c r="R60" s="357">
        <f t="shared" si="16"/>
        <v>6606600</v>
      </c>
      <c r="S60" s="559"/>
    </row>
    <row r="61" spans="1:19">
      <c r="A61" s="356">
        <v>3</v>
      </c>
      <c r="B61" s="253" t="s">
        <v>959</v>
      </c>
      <c r="C61" s="309"/>
      <c r="D61" s="255"/>
      <c r="E61" s="255"/>
      <c r="F61" s="254">
        <f>56.5*1*D59</f>
        <v>1281985</v>
      </c>
      <c r="G61" s="255"/>
      <c r="H61" s="559"/>
      <c r="I61" s="489">
        <v>3</v>
      </c>
      <c r="J61" s="355">
        <v>42996</v>
      </c>
      <c r="K61" s="355">
        <v>43008</v>
      </c>
      <c r="L61" s="356" t="s">
        <v>952</v>
      </c>
      <c r="M61" s="601">
        <f t="shared" si="12"/>
        <v>13</v>
      </c>
      <c r="N61" s="601">
        <v>1440</v>
      </c>
      <c r="O61" s="601">
        <f t="shared" si="13"/>
        <v>1440</v>
      </c>
      <c r="P61" s="602">
        <f t="shared" si="14"/>
        <v>18720</v>
      </c>
      <c r="Q61" s="357">
        <f t="shared" si="15"/>
        <v>22000</v>
      </c>
      <c r="R61" s="357">
        <f t="shared" si="16"/>
        <v>5353920</v>
      </c>
      <c r="S61" s="559"/>
    </row>
    <row r="62" spans="1:19">
      <c r="A62" s="356">
        <v>4</v>
      </c>
      <c r="B62" s="253" t="s">
        <v>1017</v>
      </c>
      <c r="C62" s="309"/>
      <c r="D62" s="255"/>
      <c r="E62" s="255"/>
      <c r="F62" s="254">
        <f>68000000*6</f>
        <v>408000000</v>
      </c>
      <c r="G62" s="255"/>
      <c r="H62" s="559"/>
      <c r="I62" s="489">
        <v>4</v>
      </c>
      <c r="J62" s="355">
        <v>42996</v>
      </c>
      <c r="K62" s="355">
        <v>43008</v>
      </c>
      <c r="L62" s="356" t="s">
        <v>941</v>
      </c>
      <c r="M62" s="601">
        <f t="shared" si="12"/>
        <v>13</v>
      </c>
      <c r="N62" s="601">
        <v>1386</v>
      </c>
      <c r="O62" s="601">
        <f t="shared" si="13"/>
        <v>1386</v>
      </c>
      <c r="P62" s="602">
        <f t="shared" si="14"/>
        <v>18018</v>
      </c>
      <c r="Q62" s="357">
        <f t="shared" si="15"/>
        <v>22000</v>
      </c>
      <c r="R62" s="357">
        <f t="shared" si="16"/>
        <v>5153148</v>
      </c>
      <c r="S62" s="559"/>
    </row>
    <row r="63" spans="1:19">
      <c r="A63" s="356">
        <v>5</v>
      </c>
      <c r="B63" s="256" t="s">
        <v>958</v>
      </c>
      <c r="C63" s="263"/>
      <c r="D63" s="258"/>
      <c r="E63" s="258"/>
      <c r="F63" s="254">
        <f>6*2880000</f>
        <v>17280000</v>
      </c>
      <c r="G63" s="255"/>
      <c r="H63" s="559"/>
      <c r="I63" s="489">
        <v>5</v>
      </c>
      <c r="J63" s="355">
        <v>43001</v>
      </c>
      <c r="K63" s="355">
        <v>43008</v>
      </c>
      <c r="L63" s="356" t="s">
        <v>556</v>
      </c>
      <c r="M63" s="601">
        <f t="shared" si="12"/>
        <v>8</v>
      </c>
      <c r="N63" s="601">
        <v>1983</v>
      </c>
      <c r="O63" s="601">
        <f t="shared" si="13"/>
        <v>1983</v>
      </c>
      <c r="P63" s="602">
        <f t="shared" si="14"/>
        <v>25779</v>
      </c>
      <c r="Q63" s="357">
        <f t="shared" si="15"/>
        <v>22000</v>
      </c>
      <c r="R63" s="357">
        <f t="shared" si="16"/>
        <v>4537104</v>
      </c>
      <c r="S63" s="559"/>
    </row>
    <row r="64" spans="1:19">
      <c r="A64" s="356">
        <v>6</v>
      </c>
      <c r="B64" s="256" t="s">
        <v>391</v>
      </c>
      <c r="C64" s="310"/>
      <c r="D64" s="255"/>
      <c r="E64" s="255"/>
      <c r="F64" s="254">
        <f>R70</f>
        <v>33718542</v>
      </c>
      <c r="G64" s="255"/>
      <c r="H64" s="559"/>
      <c r="I64" s="489">
        <v>6</v>
      </c>
      <c r="J64" s="355">
        <v>43001</v>
      </c>
      <c r="K64" s="355">
        <v>43008</v>
      </c>
      <c r="L64" s="589" t="s">
        <v>938</v>
      </c>
      <c r="M64" s="601">
        <f t="shared" si="12"/>
        <v>8</v>
      </c>
      <c r="N64" s="601">
        <v>1574</v>
      </c>
      <c r="O64" s="601">
        <f t="shared" si="13"/>
        <v>1574</v>
      </c>
      <c r="P64" s="602">
        <f t="shared" si="14"/>
        <v>20462</v>
      </c>
      <c r="Q64" s="357">
        <f t="shared" si="15"/>
        <v>22000</v>
      </c>
      <c r="R64" s="357">
        <f t="shared" si="16"/>
        <v>3601312</v>
      </c>
      <c r="S64" s="559"/>
    </row>
    <row r="65" spans="1:19">
      <c r="A65" s="356">
        <v>7</v>
      </c>
      <c r="B65" s="256" t="s">
        <v>1020</v>
      </c>
      <c r="C65" s="310"/>
      <c r="D65" s="255"/>
      <c r="E65" s="255"/>
      <c r="F65" s="254">
        <v>550000</v>
      </c>
      <c r="G65" s="255">
        <v>1265000000</v>
      </c>
      <c r="H65" s="559"/>
      <c r="I65" s="489">
        <v>7</v>
      </c>
      <c r="J65" s="355">
        <v>43002</v>
      </c>
      <c r="K65" s="355">
        <v>43008</v>
      </c>
      <c r="L65" s="356" t="s">
        <v>954</v>
      </c>
      <c r="M65" s="601">
        <f t="shared" si="12"/>
        <v>7</v>
      </c>
      <c r="N65" s="601">
        <v>1741</v>
      </c>
      <c r="O65" s="601">
        <f t="shared" si="13"/>
        <v>1741</v>
      </c>
      <c r="P65" s="602">
        <f t="shared" si="14"/>
        <v>22633</v>
      </c>
      <c r="Q65" s="357">
        <f t="shared" si="15"/>
        <v>22000</v>
      </c>
      <c r="R65" s="357">
        <f t="shared" si="16"/>
        <v>3485482</v>
      </c>
      <c r="S65" s="559"/>
    </row>
    <row r="66" spans="1:19">
      <c r="A66" s="356">
        <v>8</v>
      </c>
      <c r="B66" s="256" t="s">
        <v>1021</v>
      </c>
      <c r="C66" s="310"/>
      <c r="D66" s="255"/>
      <c r="E66" s="255"/>
      <c r="F66" s="254">
        <v>330000</v>
      </c>
      <c r="G66" s="255">
        <v>322400000</v>
      </c>
      <c r="H66" s="559"/>
      <c r="I66" s="489">
        <v>8</v>
      </c>
      <c r="J66" s="355">
        <v>43003</v>
      </c>
      <c r="K66" s="355">
        <v>43008</v>
      </c>
      <c r="L66" s="356" t="s">
        <v>955</v>
      </c>
      <c r="M66" s="601">
        <f t="shared" si="12"/>
        <v>6</v>
      </c>
      <c r="N66" s="601">
        <v>812</v>
      </c>
      <c r="O66" s="601">
        <f t="shared" si="13"/>
        <v>812</v>
      </c>
      <c r="P66" s="602">
        <f t="shared" si="14"/>
        <v>10556</v>
      </c>
      <c r="Q66" s="357">
        <f t="shared" si="15"/>
        <v>22000</v>
      </c>
      <c r="R66" s="357">
        <f t="shared" si="16"/>
        <v>1393392</v>
      </c>
      <c r="S66" s="559"/>
    </row>
    <row r="67" spans="1:19">
      <c r="A67" s="356">
        <v>9</v>
      </c>
      <c r="B67" s="256" t="s">
        <v>1042</v>
      </c>
      <c r="C67" s="310"/>
      <c r="D67" s="255"/>
      <c r="E67" s="255"/>
      <c r="F67" s="254">
        <v>550000</v>
      </c>
      <c r="G67" s="255">
        <v>1070000000</v>
      </c>
      <c r="H67" s="559"/>
      <c r="I67" s="489">
        <v>9</v>
      </c>
      <c r="J67" s="355">
        <v>43004</v>
      </c>
      <c r="K67" s="355">
        <v>43008</v>
      </c>
      <c r="L67" s="356" t="s">
        <v>956</v>
      </c>
      <c r="M67" s="601">
        <f t="shared" si="12"/>
        <v>5</v>
      </c>
      <c r="N67" s="601">
        <v>2030</v>
      </c>
      <c r="O67" s="601">
        <f t="shared" si="13"/>
        <v>2030</v>
      </c>
      <c r="P67" s="602">
        <f t="shared" si="14"/>
        <v>26390</v>
      </c>
      <c r="Q67" s="357">
        <f t="shared" si="15"/>
        <v>22000</v>
      </c>
      <c r="R67" s="357">
        <f t="shared" si="16"/>
        <v>2902900</v>
      </c>
      <c r="S67" s="559"/>
    </row>
    <row r="68" spans="1:19">
      <c r="A68" s="356">
        <v>10</v>
      </c>
      <c r="B68" s="256" t="s">
        <v>1041</v>
      </c>
      <c r="C68" s="310"/>
      <c r="D68" s="255"/>
      <c r="E68" s="255"/>
      <c r="F68" s="254">
        <v>550000</v>
      </c>
      <c r="G68" s="255">
        <v>841350000</v>
      </c>
      <c r="H68" s="559"/>
      <c r="I68" s="489">
        <v>10</v>
      </c>
      <c r="J68" s="355">
        <v>42988</v>
      </c>
      <c r="K68" s="355"/>
      <c r="L68" s="356"/>
      <c r="M68" s="619" t="str">
        <f t="shared" ref="M68" si="17">IF(K68&lt;&gt;"",K68-J68+1,"")</f>
        <v/>
      </c>
      <c r="N68" s="619">
        <v>10</v>
      </c>
      <c r="O68" s="619">
        <f t="shared" ref="O68" si="18">IF(K68&lt;&gt;"",N68,0)</f>
        <v>0</v>
      </c>
      <c r="P68" s="621">
        <f t="shared" ref="P68" si="19">N68*13</f>
        <v>130</v>
      </c>
      <c r="Q68" s="357">
        <f t="shared" ref="Q68" si="20">IF(OR(M68="",M68=1),0,22000)</f>
        <v>0</v>
      </c>
      <c r="R68" s="357" t="str">
        <f t="shared" ref="R68" si="21">IF(M68&lt;&gt;"",Q68*P68*M68/1000,"")</f>
        <v/>
      </c>
      <c r="S68" s="559"/>
    </row>
    <row r="69" spans="1:19">
      <c r="A69" s="356"/>
      <c r="B69" s="256"/>
      <c r="C69" s="310"/>
      <c r="D69" s="255"/>
      <c r="E69" s="255"/>
      <c r="F69" s="254"/>
      <c r="G69" s="255"/>
      <c r="H69" s="559"/>
      <c r="I69" s="489"/>
      <c r="J69" s="355"/>
      <c r="K69" s="355"/>
      <c r="L69" s="356"/>
      <c r="M69" s="601"/>
      <c r="N69" s="601"/>
      <c r="O69" s="601">
        <f t="shared" ref="O69" si="22">IF(K69&lt;&gt;"",N69,0)</f>
        <v>0</v>
      </c>
      <c r="P69" s="602">
        <f t="shared" ref="P69" si="23">N69*13</f>
        <v>0</v>
      </c>
      <c r="Q69" s="357">
        <f t="shared" ref="Q69" si="24">IF(OR(M69="",M69=1),0,22000)</f>
        <v>0</v>
      </c>
      <c r="R69" s="357" t="str">
        <f>IF(M69&lt;&gt;"",Q69*P69*M69/1000,"")</f>
        <v/>
      </c>
      <c r="S69" s="559"/>
    </row>
    <row r="70" spans="1:19">
      <c r="A70" s="376"/>
      <c r="B70" s="376" t="s">
        <v>57</v>
      </c>
      <c r="C70" s="262">
        <f>SUM(C59:C69)</f>
        <v>174174</v>
      </c>
      <c r="D70" s="262"/>
      <c r="E70" s="261">
        <f>SUM(E59:E69)</f>
        <v>3961008060</v>
      </c>
      <c r="F70" s="261">
        <f>SUM(F59:F69)</f>
        <v>462260527</v>
      </c>
      <c r="G70" s="261">
        <f>SUM(G59:G69)</f>
        <v>3498750000</v>
      </c>
      <c r="H70" s="559"/>
      <c r="I70" s="414"/>
      <c r="J70" s="414"/>
      <c r="K70" s="414"/>
      <c r="L70" s="414" t="s">
        <v>19</v>
      </c>
      <c r="M70" s="414"/>
      <c r="N70" s="415">
        <f>SUM(N59:N69)</f>
        <v>12190</v>
      </c>
      <c r="O70" s="415">
        <f>SUM(O59:O69)</f>
        <v>12180</v>
      </c>
      <c r="P70" s="415">
        <f>SUM(P59:P69)</f>
        <v>158470</v>
      </c>
      <c r="Q70" s="415"/>
      <c r="R70" s="415">
        <f>SUM(R59:R69)</f>
        <v>33718542</v>
      </c>
      <c r="S70" s="559"/>
    </row>
    <row r="71" spans="1:19">
      <c r="A71" s="534"/>
      <c r="B71" s="534"/>
      <c r="C71" s="535"/>
      <c r="D71" s="536"/>
      <c r="E71" s="536"/>
      <c r="F71" s="534"/>
      <c r="G71" s="581"/>
      <c r="H71" s="559"/>
      <c r="L71" s="352" t="s">
        <v>845</v>
      </c>
      <c r="M71" s="860">
        <f>N70-O70</f>
        <v>10</v>
      </c>
      <c r="N71" s="860"/>
      <c r="O71" s="860"/>
      <c r="S71" s="559"/>
    </row>
    <row r="72" spans="1:19">
      <c r="A72" s="534"/>
      <c r="B72" s="582"/>
      <c r="C72" s="535"/>
      <c r="D72" s="536"/>
      <c r="E72" s="536"/>
      <c r="F72" s="534"/>
      <c r="G72" s="581"/>
      <c r="H72" s="559"/>
      <c r="S72" s="559"/>
    </row>
    <row r="73" spans="1:19">
      <c r="A73" s="534"/>
      <c r="B73" s="534" t="s">
        <v>929</v>
      </c>
      <c r="C73" s="535">
        <f>C70</f>
        <v>174174</v>
      </c>
      <c r="D73" s="536"/>
      <c r="E73" s="536"/>
      <c r="F73" s="853">
        <f>E70</f>
        <v>3961008060</v>
      </c>
      <c r="G73" s="853"/>
      <c r="H73" s="559"/>
      <c r="I73" s="559"/>
      <c r="J73" s="559"/>
      <c r="K73" s="559"/>
      <c r="L73" s="559"/>
      <c r="M73" s="559"/>
      <c r="N73" s="559"/>
      <c r="O73" s="559"/>
      <c r="P73" s="559"/>
      <c r="Q73" s="559"/>
      <c r="R73" s="559"/>
      <c r="S73" s="559"/>
    </row>
    <row r="74" spans="1:19">
      <c r="A74" s="534"/>
      <c r="B74" s="534"/>
      <c r="C74" s="535"/>
      <c r="D74" s="536"/>
      <c r="E74" s="536"/>
      <c r="F74" s="534"/>
      <c r="G74" s="581"/>
      <c r="H74" s="559"/>
      <c r="I74" s="559"/>
      <c r="J74" s="559"/>
      <c r="K74" s="559"/>
      <c r="L74" s="559"/>
      <c r="M74" s="559"/>
      <c r="N74" s="559"/>
      <c r="O74" s="559"/>
      <c r="P74" s="559"/>
      <c r="Q74" s="559"/>
      <c r="R74" s="559"/>
      <c r="S74" s="559"/>
    </row>
    <row r="75" spans="1:19">
      <c r="A75" s="583"/>
      <c r="B75" s="583" t="s">
        <v>961</v>
      </c>
      <c r="C75" s="583"/>
      <c r="D75" s="583"/>
      <c r="E75" s="583"/>
      <c r="F75" s="853">
        <f>F70</f>
        <v>462260527</v>
      </c>
      <c r="G75" s="853"/>
      <c r="H75" s="559"/>
      <c r="I75" s="559"/>
      <c r="J75" s="559"/>
      <c r="K75" s="559"/>
      <c r="L75" s="559"/>
      <c r="M75" s="559"/>
      <c r="N75" s="559"/>
      <c r="O75" s="559"/>
      <c r="P75" s="559"/>
      <c r="Q75" s="559"/>
      <c r="R75" s="559"/>
      <c r="S75" s="559"/>
    </row>
    <row r="76" spans="1:19">
      <c r="A76" s="583"/>
      <c r="B76" s="583"/>
      <c r="C76" s="583"/>
      <c r="D76" s="583"/>
      <c r="E76" s="583"/>
      <c r="F76" s="583"/>
      <c r="G76" s="583"/>
      <c r="H76" s="559"/>
      <c r="I76" s="559"/>
      <c r="J76" s="559"/>
      <c r="K76" s="559"/>
      <c r="L76" s="559"/>
      <c r="M76" s="559"/>
      <c r="N76" s="559"/>
      <c r="O76" s="559"/>
      <c r="P76" s="559"/>
      <c r="Q76" s="559"/>
      <c r="R76" s="559"/>
      <c r="S76" s="559"/>
    </row>
    <row r="77" spans="1:19">
      <c r="A77" s="583"/>
      <c r="B77" s="583" t="s">
        <v>960</v>
      </c>
      <c r="C77" s="583"/>
      <c r="D77" s="583"/>
      <c r="E77" s="583"/>
      <c r="F77" s="853">
        <f>G70</f>
        <v>3498750000</v>
      </c>
      <c r="G77" s="853"/>
      <c r="H77" s="559"/>
      <c r="I77" s="559"/>
      <c r="J77" s="559"/>
      <c r="K77" s="559"/>
      <c r="L77" s="559"/>
      <c r="M77" s="559"/>
      <c r="N77" s="559"/>
      <c r="O77" s="559"/>
      <c r="P77" s="559"/>
      <c r="Q77" s="559"/>
      <c r="R77" s="559"/>
      <c r="S77" s="559"/>
    </row>
    <row r="78" spans="1:19">
      <c r="A78" s="560"/>
      <c r="B78" s="560"/>
      <c r="C78" s="560"/>
      <c r="D78" s="560"/>
      <c r="E78" s="560"/>
      <c r="F78" s="854"/>
      <c r="G78" s="854"/>
      <c r="H78" s="559"/>
      <c r="I78" s="559"/>
      <c r="J78" s="559"/>
      <c r="K78" s="559"/>
      <c r="L78" s="559"/>
      <c r="M78" s="559"/>
      <c r="N78" s="559"/>
      <c r="O78" s="559"/>
      <c r="P78" s="559"/>
      <c r="Q78" s="559"/>
      <c r="R78" s="559"/>
      <c r="S78" s="559"/>
    </row>
    <row r="79" spans="1:19">
      <c r="A79" s="560"/>
      <c r="B79" s="560"/>
      <c r="C79" s="560"/>
      <c r="D79" s="560"/>
      <c r="E79" s="560"/>
      <c r="F79" s="853"/>
      <c r="G79" s="853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</row>
    <row r="80" spans="1:19">
      <c r="A80" s="559"/>
      <c r="B80" s="560" t="s">
        <v>930</v>
      </c>
      <c r="C80" s="559"/>
      <c r="D80" s="559"/>
      <c r="E80" s="559"/>
      <c r="F80" s="853">
        <f>F73-F75-F77</f>
        <v>-2467</v>
      </c>
      <c r="G80" s="853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</row>
    <row r="81" spans="1:19">
      <c r="A81" s="559"/>
      <c r="B81" s="559"/>
      <c r="C81" s="559"/>
      <c r="D81" s="559"/>
      <c r="E81" s="559"/>
      <c r="F81" s="559"/>
      <c r="G81" s="559"/>
      <c r="H81" s="559"/>
      <c r="J81" s="352" t="s">
        <v>29</v>
      </c>
      <c r="K81" s="353"/>
      <c r="L81" s="354"/>
      <c r="M81" s="353"/>
      <c r="N81" s="353"/>
      <c r="O81" s="353"/>
      <c r="P81" s="353"/>
      <c r="Q81" s="353"/>
      <c r="R81" s="353"/>
      <c r="S81" s="559"/>
    </row>
    <row r="82" spans="1:19">
      <c r="A82" s="803" t="s">
        <v>0</v>
      </c>
      <c r="B82" s="803" t="s">
        <v>21</v>
      </c>
      <c r="C82" s="855" t="s">
        <v>50</v>
      </c>
      <c r="D82" s="815" t="s">
        <v>51</v>
      </c>
      <c r="E82" s="815" t="s">
        <v>9</v>
      </c>
      <c r="F82" s="815" t="s">
        <v>117</v>
      </c>
      <c r="G82" s="815" t="s">
        <v>52</v>
      </c>
      <c r="H82" s="559"/>
      <c r="I82" s="803" t="s">
        <v>0</v>
      </c>
      <c r="J82" s="803" t="s">
        <v>30</v>
      </c>
      <c r="K82" s="803" t="s">
        <v>31</v>
      </c>
      <c r="L82" s="803" t="s">
        <v>103</v>
      </c>
      <c r="M82" s="803" t="s">
        <v>32</v>
      </c>
      <c r="N82" s="805" t="s">
        <v>83</v>
      </c>
      <c r="O82" s="806"/>
      <c r="P82" s="813" t="s">
        <v>33</v>
      </c>
      <c r="Q82" s="815" t="s">
        <v>106</v>
      </c>
      <c r="R82" s="815" t="s">
        <v>9</v>
      </c>
      <c r="S82" s="559"/>
    </row>
    <row r="83" spans="1:19" ht="20.25" customHeight="1">
      <c r="A83" s="803"/>
      <c r="B83" s="803"/>
      <c r="C83" s="855"/>
      <c r="D83" s="815"/>
      <c r="E83" s="815"/>
      <c r="F83" s="815"/>
      <c r="G83" s="815"/>
      <c r="H83" s="559"/>
      <c r="I83" s="803"/>
      <c r="J83" s="803"/>
      <c r="K83" s="803"/>
      <c r="L83" s="803"/>
      <c r="M83" s="803"/>
      <c r="N83" s="807"/>
      <c r="O83" s="808"/>
      <c r="P83" s="814"/>
      <c r="Q83" s="815"/>
      <c r="R83" s="815"/>
      <c r="S83" s="559"/>
    </row>
    <row r="84" spans="1:19">
      <c r="A84" s="356">
        <v>1</v>
      </c>
      <c r="B84" s="264" t="s">
        <v>1114</v>
      </c>
      <c r="C84" s="510">
        <v>174174</v>
      </c>
      <c r="D84" s="511">
        <v>22680</v>
      </c>
      <c r="E84" s="511">
        <f>C84*D84</f>
        <v>3950266320</v>
      </c>
      <c r="F84" s="512"/>
      <c r="G84" s="511"/>
      <c r="H84" s="559"/>
      <c r="I84" s="489">
        <v>1</v>
      </c>
      <c r="J84" s="355">
        <v>42988</v>
      </c>
      <c r="K84" s="355">
        <v>43025</v>
      </c>
      <c r="L84" s="356"/>
      <c r="M84" s="650">
        <f t="shared" ref="M84:M89" si="25">IF(K84&lt;&gt;"",K84-J84+1,"")</f>
        <v>38</v>
      </c>
      <c r="N84" s="650">
        <v>10</v>
      </c>
      <c r="O84" s="650">
        <f t="shared" ref="O84" si="26">IF(K84&lt;&gt;"",N84,0)</f>
        <v>10</v>
      </c>
      <c r="P84" s="651">
        <f t="shared" ref="P84" si="27">N84*13</f>
        <v>130</v>
      </c>
      <c r="Q84" s="357">
        <f t="shared" ref="Q84" si="28">IF(OR(M84="",M84=1),0,22000)</f>
        <v>22000</v>
      </c>
      <c r="R84" s="357">
        <f t="shared" ref="R84" si="29">IF(M84&lt;&gt;"",Q84*P84*M84/1000,"")</f>
        <v>108680</v>
      </c>
      <c r="S84" s="559"/>
    </row>
    <row r="85" spans="1:19">
      <c r="A85" s="356">
        <v>2</v>
      </c>
      <c r="B85" s="253" t="s">
        <v>959</v>
      </c>
      <c r="C85" s="309"/>
      <c r="D85" s="255"/>
      <c r="E85" s="255"/>
      <c r="F85" s="254">
        <f>56.5*1*D84</f>
        <v>1281420</v>
      </c>
      <c r="G85" s="255"/>
      <c r="H85" s="559"/>
      <c r="I85" s="489">
        <v>2</v>
      </c>
      <c r="J85" s="355">
        <v>43014</v>
      </c>
      <c r="K85" s="355">
        <v>43025</v>
      </c>
      <c r="L85" s="356" t="s">
        <v>1116</v>
      </c>
      <c r="M85" s="650">
        <f t="shared" si="25"/>
        <v>12</v>
      </c>
      <c r="N85" s="650">
        <v>1920</v>
      </c>
      <c r="O85" s="650">
        <f t="shared" ref="O85:O89" si="30">IF(K85&lt;&gt;"",N85,0)</f>
        <v>1920</v>
      </c>
      <c r="P85" s="651">
        <f t="shared" ref="P85:P89" si="31">N85*13</f>
        <v>24960</v>
      </c>
      <c r="Q85" s="357">
        <f t="shared" ref="Q85:Q89" si="32">IF(OR(M85="",M85=1),0,22000)</f>
        <v>22000</v>
      </c>
      <c r="R85" s="357">
        <f t="shared" ref="R85:R89" si="33">IF(M85&lt;&gt;"",Q85*P85*M85/1000,"")</f>
        <v>6589440</v>
      </c>
      <c r="S85" s="559"/>
    </row>
    <row r="86" spans="1:19">
      <c r="A86" s="356">
        <v>3</v>
      </c>
      <c r="B86" s="253" t="s">
        <v>1115</v>
      </c>
      <c r="C86" s="309"/>
      <c r="D86" s="255"/>
      <c r="E86" s="255"/>
      <c r="F86" s="254">
        <f>68000000*4</f>
        <v>272000000</v>
      </c>
      <c r="G86" s="255"/>
      <c r="H86" s="559"/>
      <c r="I86" s="489">
        <v>3</v>
      </c>
      <c r="J86" s="355">
        <v>43019</v>
      </c>
      <c r="K86" s="355">
        <v>43025</v>
      </c>
      <c r="L86" s="356" t="s">
        <v>1117</v>
      </c>
      <c r="M86" s="650">
        <f t="shared" si="25"/>
        <v>7</v>
      </c>
      <c r="N86" s="650">
        <v>2030</v>
      </c>
      <c r="O86" s="650">
        <f t="shared" si="30"/>
        <v>2030</v>
      </c>
      <c r="P86" s="651">
        <f t="shared" si="31"/>
        <v>26390</v>
      </c>
      <c r="Q86" s="357">
        <f t="shared" si="32"/>
        <v>22000</v>
      </c>
      <c r="R86" s="357">
        <f t="shared" si="33"/>
        <v>4064060</v>
      </c>
      <c r="S86" s="559"/>
    </row>
    <row r="87" spans="1:19">
      <c r="A87" s="356">
        <v>4</v>
      </c>
      <c r="B87" s="256" t="s">
        <v>958</v>
      </c>
      <c r="C87" s="263"/>
      <c r="D87" s="258"/>
      <c r="E87" s="258"/>
      <c r="F87" s="254">
        <f>4*2880000</f>
        <v>11520000</v>
      </c>
      <c r="G87" s="255"/>
      <c r="H87" s="559"/>
      <c r="I87" s="489">
        <v>4</v>
      </c>
      <c r="J87" s="355">
        <v>43021</v>
      </c>
      <c r="K87" s="355">
        <v>43025</v>
      </c>
      <c r="L87" s="356" t="s">
        <v>1118</v>
      </c>
      <c r="M87" s="650">
        <f t="shared" si="25"/>
        <v>5</v>
      </c>
      <c r="N87" s="650">
        <v>2030</v>
      </c>
      <c r="O87" s="650">
        <f t="shared" si="30"/>
        <v>2030</v>
      </c>
      <c r="P87" s="651">
        <f t="shared" si="31"/>
        <v>26390</v>
      </c>
      <c r="Q87" s="357">
        <f t="shared" si="32"/>
        <v>22000</v>
      </c>
      <c r="R87" s="357">
        <f t="shared" si="33"/>
        <v>2902900</v>
      </c>
      <c r="S87" s="559"/>
    </row>
    <row r="88" spans="1:19">
      <c r="A88" s="356">
        <v>5</v>
      </c>
      <c r="B88" s="256" t="s">
        <v>391</v>
      </c>
      <c r="C88" s="310"/>
      <c r="D88" s="255"/>
      <c r="E88" s="255"/>
      <c r="F88" s="254">
        <f>R91</f>
        <v>13665080</v>
      </c>
      <c r="G88" s="255"/>
      <c r="H88" s="559"/>
      <c r="I88" s="489">
        <v>5</v>
      </c>
      <c r="J88" s="355">
        <v>43025</v>
      </c>
      <c r="K88" s="355">
        <v>43025</v>
      </c>
      <c r="L88" s="356" t="s">
        <v>1119</v>
      </c>
      <c r="M88" s="650">
        <f t="shared" si="25"/>
        <v>1</v>
      </c>
      <c r="N88" s="650">
        <v>2030</v>
      </c>
      <c r="O88" s="650">
        <f t="shared" si="30"/>
        <v>2030</v>
      </c>
      <c r="P88" s="651">
        <f t="shared" si="31"/>
        <v>26390</v>
      </c>
      <c r="Q88" s="357">
        <f t="shared" si="32"/>
        <v>0</v>
      </c>
      <c r="R88" s="357">
        <f t="shared" si="33"/>
        <v>0</v>
      </c>
      <c r="S88" s="559"/>
    </row>
    <row r="89" spans="1:19">
      <c r="A89" s="356">
        <v>6</v>
      </c>
      <c r="B89" s="256" t="s">
        <v>1120</v>
      </c>
      <c r="C89" s="310"/>
      <c r="D89" s="255"/>
      <c r="E89" s="255"/>
      <c r="F89" s="254">
        <v>343200</v>
      </c>
      <c r="G89" s="255">
        <v>624000000</v>
      </c>
      <c r="H89" s="559"/>
      <c r="I89" s="489">
        <v>6</v>
      </c>
      <c r="J89" s="355"/>
      <c r="K89" s="355"/>
      <c r="L89" s="589"/>
      <c r="M89" s="650" t="str">
        <f t="shared" si="25"/>
        <v/>
      </c>
      <c r="N89" s="650"/>
      <c r="O89" s="650">
        <f t="shared" si="30"/>
        <v>0</v>
      </c>
      <c r="P89" s="651">
        <f t="shared" si="31"/>
        <v>0</v>
      </c>
      <c r="Q89" s="357">
        <f t="shared" si="32"/>
        <v>0</v>
      </c>
      <c r="R89" s="357" t="str">
        <f t="shared" si="33"/>
        <v/>
      </c>
      <c r="S89" s="559"/>
    </row>
    <row r="90" spans="1:19">
      <c r="A90" s="356">
        <v>7</v>
      </c>
      <c r="B90" s="256" t="s">
        <v>923</v>
      </c>
      <c r="C90" s="310"/>
      <c r="D90" s="255"/>
      <c r="E90" s="255"/>
      <c r="F90" s="254">
        <v>421300</v>
      </c>
      <c r="G90" s="255">
        <v>765000000</v>
      </c>
      <c r="H90" s="559"/>
      <c r="I90" s="489"/>
      <c r="J90" s="355"/>
      <c r="K90" s="355"/>
      <c r="L90" s="356"/>
      <c r="M90" s="650"/>
      <c r="N90" s="650"/>
      <c r="O90" s="650"/>
      <c r="P90" s="651"/>
      <c r="Q90" s="357"/>
      <c r="R90" s="357"/>
      <c r="S90" s="559"/>
    </row>
    <row r="91" spans="1:19">
      <c r="A91" s="356">
        <v>8</v>
      </c>
      <c r="B91" s="256" t="s">
        <v>1121</v>
      </c>
      <c r="C91" s="310"/>
      <c r="D91" s="255"/>
      <c r="E91" s="255"/>
      <c r="F91" s="254">
        <v>22000</v>
      </c>
      <c r="G91" s="255">
        <v>163000000</v>
      </c>
      <c r="H91" s="559"/>
      <c r="I91" s="414"/>
      <c r="J91" s="414"/>
      <c r="K91" s="414"/>
      <c r="L91" s="414" t="s">
        <v>19</v>
      </c>
      <c r="M91" s="414"/>
      <c r="N91" s="415">
        <f>SUM(N84:N90)</f>
        <v>8020</v>
      </c>
      <c r="O91" s="415">
        <f>SUM(O84:O90)</f>
        <v>8020</v>
      </c>
      <c r="P91" s="415">
        <f>SUM(P84:P90)</f>
        <v>104260</v>
      </c>
      <c r="Q91" s="415"/>
      <c r="R91" s="415">
        <f>SUM(R84:R90)</f>
        <v>13665080</v>
      </c>
      <c r="S91" s="559"/>
    </row>
    <row r="92" spans="1:19">
      <c r="A92" s="356">
        <v>9</v>
      </c>
      <c r="B92" s="256" t="s">
        <v>1122</v>
      </c>
      <c r="C92" s="310"/>
      <c r="D92" s="255"/>
      <c r="E92" s="255"/>
      <c r="F92" s="254">
        <v>550000</v>
      </c>
      <c r="G92" s="255">
        <v>2099800000</v>
      </c>
      <c r="H92" s="559"/>
      <c r="L92" s="352" t="s">
        <v>845</v>
      </c>
      <c r="M92" s="860">
        <f>N91-O91</f>
        <v>0</v>
      </c>
      <c r="N92" s="860"/>
      <c r="O92" s="860"/>
      <c r="S92" s="559"/>
    </row>
    <row r="93" spans="1:19">
      <c r="A93" s="356"/>
      <c r="B93" s="256"/>
      <c r="C93" s="310"/>
      <c r="D93" s="255"/>
      <c r="E93" s="255"/>
      <c r="F93" s="254"/>
      <c r="G93" s="255"/>
      <c r="H93" s="559"/>
      <c r="I93" s="559"/>
      <c r="J93" s="559"/>
      <c r="K93" s="559"/>
      <c r="L93" s="559"/>
      <c r="M93" s="559"/>
      <c r="N93" s="559"/>
      <c r="O93" s="559"/>
      <c r="P93" s="559"/>
      <c r="Q93" s="559"/>
      <c r="R93" s="559"/>
      <c r="S93" s="559"/>
    </row>
    <row r="94" spans="1:19">
      <c r="A94" s="376"/>
      <c r="B94" s="376" t="s">
        <v>57</v>
      </c>
      <c r="C94" s="262">
        <f>SUM(C84:C93)</f>
        <v>174174</v>
      </c>
      <c r="D94" s="262"/>
      <c r="E94" s="261">
        <f>SUM(E84:E93)</f>
        <v>3950266320</v>
      </c>
      <c r="F94" s="261">
        <f>SUM(F84:F93)</f>
        <v>299803000</v>
      </c>
      <c r="G94" s="261">
        <f>SUM(G84:G93)</f>
        <v>3651800000</v>
      </c>
      <c r="H94" s="559"/>
      <c r="I94" s="559"/>
      <c r="J94" s="559"/>
      <c r="K94" s="559"/>
      <c r="L94" s="559"/>
      <c r="M94" s="559"/>
      <c r="N94" s="559"/>
      <c r="O94" s="559"/>
      <c r="P94" s="559"/>
      <c r="Q94" s="559"/>
      <c r="R94" s="559"/>
      <c r="S94" s="559"/>
    </row>
    <row r="95" spans="1:19">
      <c r="A95" s="534"/>
      <c r="B95" s="534"/>
      <c r="C95" s="535"/>
      <c r="D95" s="536"/>
      <c r="E95" s="536"/>
      <c r="F95" s="534"/>
      <c r="G95" s="581"/>
      <c r="H95" s="559"/>
      <c r="I95" s="559"/>
      <c r="J95" s="559"/>
      <c r="K95" s="559"/>
      <c r="L95" s="559"/>
      <c r="M95" s="559"/>
      <c r="N95" s="559"/>
      <c r="O95" s="559"/>
      <c r="P95" s="559"/>
      <c r="Q95" s="559"/>
      <c r="R95" s="559"/>
      <c r="S95" s="559"/>
    </row>
    <row r="96" spans="1:19">
      <c r="A96" s="534"/>
      <c r="B96" s="582"/>
      <c r="C96" s="535"/>
      <c r="D96" s="536"/>
      <c r="E96" s="536"/>
      <c r="F96" s="534"/>
      <c r="G96" s="581"/>
      <c r="H96" s="559"/>
      <c r="I96" s="559"/>
      <c r="J96" s="559"/>
      <c r="K96" s="559"/>
      <c r="L96" s="559"/>
      <c r="M96" s="559"/>
      <c r="N96" s="559"/>
      <c r="O96" s="559"/>
      <c r="P96" s="559"/>
      <c r="Q96" s="559"/>
      <c r="R96" s="559"/>
      <c r="S96" s="559"/>
    </row>
    <row r="97" spans="1:19">
      <c r="A97" s="534"/>
      <c r="B97" s="534" t="s">
        <v>929</v>
      </c>
      <c r="C97" s="535">
        <f>C94</f>
        <v>174174</v>
      </c>
      <c r="D97" s="536"/>
      <c r="E97" s="536"/>
      <c r="F97" s="853">
        <f>E94</f>
        <v>3950266320</v>
      </c>
      <c r="G97" s="853"/>
      <c r="H97" s="559"/>
      <c r="I97" s="559"/>
      <c r="J97" s="559"/>
      <c r="K97" s="559"/>
      <c r="L97" s="559"/>
      <c r="M97" s="559"/>
      <c r="N97" s="559"/>
      <c r="O97" s="559"/>
      <c r="P97" s="559"/>
      <c r="Q97" s="559"/>
      <c r="R97" s="559"/>
      <c r="S97" s="559"/>
    </row>
    <row r="98" spans="1:19">
      <c r="A98" s="534"/>
      <c r="B98" s="534"/>
      <c r="C98" s="535"/>
      <c r="D98" s="536"/>
      <c r="E98" s="536"/>
      <c r="F98" s="534"/>
      <c r="G98" s="581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</row>
    <row r="99" spans="1:19">
      <c r="A99" s="583"/>
      <c r="B99" s="583" t="s">
        <v>961</v>
      </c>
      <c r="C99" s="583"/>
      <c r="D99" s="583"/>
      <c r="E99" s="583"/>
      <c r="F99" s="853">
        <f>F94</f>
        <v>299803000</v>
      </c>
      <c r="G99" s="853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</row>
    <row r="100" spans="1:19">
      <c r="A100" s="583"/>
      <c r="B100" s="583"/>
      <c r="C100" s="583"/>
      <c r="D100" s="583"/>
      <c r="E100" s="583"/>
      <c r="F100" s="583"/>
      <c r="G100" s="583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</row>
    <row r="101" spans="1:19">
      <c r="A101" s="583"/>
      <c r="B101" s="583" t="s">
        <v>960</v>
      </c>
      <c r="C101" s="583"/>
      <c r="D101" s="583"/>
      <c r="E101" s="583"/>
      <c r="F101" s="853">
        <f>G94</f>
        <v>3651800000</v>
      </c>
      <c r="G101" s="853"/>
      <c r="H101" s="559"/>
      <c r="I101" s="559"/>
      <c r="J101" s="559"/>
      <c r="K101" s="559"/>
      <c r="L101" s="559"/>
      <c r="M101" s="559"/>
      <c r="N101" s="559"/>
      <c r="O101" s="559"/>
      <c r="P101" s="559"/>
      <c r="Q101" s="559"/>
      <c r="R101" s="559"/>
      <c r="S101" s="559"/>
    </row>
    <row r="102" spans="1:19">
      <c r="A102" s="560"/>
      <c r="B102" s="560"/>
      <c r="C102" s="560"/>
      <c r="D102" s="560"/>
      <c r="E102" s="560"/>
      <c r="F102" s="854"/>
      <c r="G102" s="854"/>
      <c r="H102" s="559"/>
      <c r="I102" s="559"/>
      <c r="J102" s="559"/>
      <c r="K102" s="559"/>
      <c r="L102" s="559"/>
      <c r="M102" s="559"/>
      <c r="N102" s="559"/>
      <c r="O102" s="559"/>
      <c r="P102" s="559"/>
      <c r="Q102" s="559"/>
      <c r="R102" s="559"/>
      <c r="S102" s="559"/>
    </row>
    <row r="103" spans="1:19">
      <c r="A103" s="560"/>
      <c r="B103" s="560"/>
      <c r="C103" s="560"/>
      <c r="D103" s="560"/>
      <c r="E103" s="560"/>
      <c r="F103" s="853"/>
      <c r="G103" s="853"/>
      <c r="H103" s="559"/>
      <c r="I103" s="559"/>
      <c r="J103" s="559"/>
      <c r="K103" s="559"/>
      <c r="L103" s="559"/>
      <c r="M103" s="559"/>
      <c r="N103" s="559"/>
      <c r="O103" s="559"/>
      <c r="P103" s="559"/>
      <c r="Q103" s="559"/>
      <c r="R103" s="559"/>
      <c r="S103" s="559"/>
    </row>
    <row r="104" spans="1:19">
      <c r="A104" s="559"/>
      <c r="B104" s="560" t="s">
        <v>930</v>
      </c>
      <c r="C104" s="559"/>
      <c r="D104" s="559"/>
      <c r="E104" s="559"/>
      <c r="F104" s="853">
        <f>F97-F99-F101</f>
        <v>-1336680</v>
      </c>
      <c r="G104" s="853"/>
      <c r="H104" s="559"/>
      <c r="I104" s="559"/>
      <c r="J104" s="559"/>
      <c r="K104" s="559"/>
      <c r="L104" s="559"/>
      <c r="M104" s="559"/>
      <c r="N104" s="559"/>
      <c r="O104" s="559"/>
      <c r="P104" s="559"/>
      <c r="Q104" s="559"/>
      <c r="R104" s="559"/>
      <c r="S104" s="559"/>
    </row>
    <row r="105" spans="1:19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59"/>
      <c r="P105" s="559"/>
      <c r="Q105" s="559"/>
      <c r="R105" s="559"/>
      <c r="S105" s="559"/>
    </row>
    <row r="106" spans="1:19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</row>
    <row r="107" spans="1:19">
      <c r="A107" s="559"/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</row>
    <row r="108" spans="1:19">
      <c r="A108" s="803" t="s">
        <v>0</v>
      </c>
      <c r="B108" s="803" t="s">
        <v>21</v>
      </c>
      <c r="C108" s="855" t="s">
        <v>50</v>
      </c>
      <c r="D108" s="815" t="s">
        <v>51</v>
      </c>
      <c r="E108" s="815" t="s">
        <v>9</v>
      </c>
      <c r="F108" s="815" t="s">
        <v>117</v>
      </c>
      <c r="G108" s="815" t="s">
        <v>52</v>
      </c>
      <c r="H108" s="559"/>
      <c r="I108" s="559"/>
      <c r="J108" s="559"/>
      <c r="K108" s="559"/>
      <c r="L108" s="559"/>
      <c r="M108" s="559"/>
      <c r="N108" s="559"/>
      <c r="O108" s="559"/>
      <c r="P108" s="559"/>
      <c r="Q108" s="559"/>
      <c r="R108" s="559"/>
      <c r="S108" s="559"/>
    </row>
    <row r="109" spans="1:19">
      <c r="A109" s="803"/>
      <c r="B109" s="803"/>
      <c r="C109" s="855"/>
      <c r="D109" s="815"/>
      <c r="E109" s="815"/>
      <c r="F109" s="815"/>
      <c r="G109" s="815"/>
      <c r="H109" s="559"/>
      <c r="I109" s="559"/>
      <c r="J109" s="559"/>
      <c r="K109" s="559"/>
      <c r="L109" s="559"/>
      <c r="M109" s="559"/>
      <c r="N109" s="559"/>
      <c r="O109" s="559"/>
      <c r="P109" s="559"/>
      <c r="Q109" s="559"/>
      <c r="R109" s="559"/>
      <c r="S109" s="559"/>
    </row>
    <row r="110" spans="1:19">
      <c r="A110" s="356">
        <v>1</v>
      </c>
      <c r="B110" s="264" t="s">
        <v>1133</v>
      </c>
      <c r="C110" s="510">
        <v>174174</v>
      </c>
      <c r="D110" s="511">
        <v>22680</v>
      </c>
      <c r="E110" s="511">
        <f>C110*D110</f>
        <v>3950266320</v>
      </c>
      <c r="F110" s="512"/>
      <c r="G110" s="511"/>
      <c r="H110" s="559"/>
      <c r="I110" s="559"/>
      <c r="J110" s="559"/>
      <c r="K110" s="559"/>
      <c r="L110" s="559"/>
      <c r="M110" s="559"/>
      <c r="N110" s="559"/>
      <c r="O110" s="559"/>
      <c r="P110" s="559"/>
      <c r="Q110" s="559"/>
      <c r="R110" s="559"/>
      <c r="S110" s="559"/>
    </row>
    <row r="111" spans="1:19">
      <c r="A111" s="356">
        <v>2</v>
      </c>
      <c r="B111" s="253" t="s">
        <v>959</v>
      </c>
      <c r="C111" s="309"/>
      <c r="D111" s="255"/>
      <c r="E111" s="255"/>
      <c r="F111" s="254">
        <f>56.5*1*D110</f>
        <v>1281420</v>
      </c>
      <c r="G111" s="255"/>
      <c r="H111" s="559"/>
      <c r="I111" s="559"/>
      <c r="J111" s="559"/>
      <c r="K111" s="559"/>
      <c r="L111" s="559"/>
      <c r="M111" s="559"/>
      <c r="N111" s="559"/>
      <c r="O111" s="559"/>
      <c r="P111" s="559"/>
      <c r="Q111" s="559"/>
      <c r="R111" s="559"/>
      <c r="S111" s="559"/>
    </row>
    <row r="112" spans="1:19">
      <c r="A112" s="356">
        <v>9</v>
      </c>
      <c r="B112" s="256" t="s">
        <v>1122</v>
      </c>
      <c r="C112" s="310"/>
      <c r="D112" s="255"/>
      <c r="E112" s="255"/>
      <c r="F112" s="254">
        <v>984900</v>
      </c>
      <c r="G112" s="255">
        <v>3948000000</v>
      </c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</row>
    <row r="113" spans="1:19">
      <c r="A113" s="356"/>
      <c r="B113" s="256"/>
      <c r="C113" s="310"/>
      <c r="D113" s="255"/>
      <c r="E113" s="255"/>
      <c r="F113" s="254"/>
      <c r="G113" s="255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</row>
    <row r="114" spans="1:19">
      <c r="A114" s="376"/>
      <c r="B114" s="376" t="s">
        <v>57</v>
      </c>
      <c r="C114" s="262">
        <f>SUM(C110:C113)</f>
        <v>174174</v>
      </c>
      <c r="D114" s="262"/>
      <c r="E114" s="261">
        <f>SUM(E110:E113)</f>
        <v>3950266320</v>
      </c>
      <c r="F114" s="261">
        <f>SUM(F110:F113)</f>
        <v>2266320</v>
      </c>
      <c r="G114" s="261">
        <f>SUM(G110:G113)</f>
        <v>3948000000</v>
      </c>
      <c r="H114" s="559"/>
      <c r="I114" s="559"/>
      <c r="J114" s="559"/>
      <c r="K114" s="559"/>
      <c r="L114" s="559"/>
      <c r="M114" s="559"/>
      <c r="N114" s="559"/>
      <c r="O114" s="559"/>
      <c r="P114" s="559"/>
      <c r="Q114" s="559"/>
      <c r="R114" s="559"/>
      <c r="S114" s="559"/>
    </row>
    <row r="115" spans="1:19">
      <c r="A115" s="534"/>
      <c r="B115" s="534"/>
      <c r="C115" s="535"/>
      <c r="D115" s="536"/>
      <c r="E115" s="536"/>
      <c r="F115" s="534"/>
      <c r="G115" s="581"/>
      <c r="H115" s="559"/>
      <c r="I115" s="559"/>
      <c r="J115" s="559"/>
      <c r="K115" s="559"/>
      <c r="L115" s="559"/>
      <c r="M115" s="559"/>
      <c r="N115" s="559"/>
      <c r="O115" s="559"/>
      <c r="P115" s="559"/>
      <c r="Q115" s="559"/>
      <c r="R115" s="559"/>
      <c r="S115" s="559"/>
    </row>
    <row r="116" spans="1:19">
      <c r="A116" s="534"/>
      <c r="B116" s="582"/>
      <c r="C116" s="535"/>
      <c r="D116" s="536"/>
      <c r="E116" s="536"/>
      <c r="F116" s="534"/>
      <c r="G116" s="581"/>
      <c r="H116" s="559"/>
      <c r="I116" s="559"/>
      <c r="J116" s="559"/>
      <c r="K116" s="559"/>
      <c r="L116" s="559"/>
      <c r="M116" s="559"/>
      <c r="N116" s="559"/>
      <c r="O116" s="559"/>
      <c r="P116" s="559"/>
      <c r="Q116" s="559"/>
      <c r="R116" s="559"/>
      <c r="S116" s="559"/>
    </row>
    <row r="117" spans="1:19">
      <c r="A117" s="534"/>
      <c r="B117" s="534" t="s">
        <v>929</v>
      </c>
      <c r="C117" s="535">
        <f>C114</f>
        <v>174174</v>
      </c>
      <c r="D117" s="536"/>
      <c r="E117" s="536"/>
      <c r="F117" s="853">
        <f>E114</f>
        <v>3950266320</v>
      </c>
      <c r="G117" s="853"/>
      <c r="H117" s="559"/>
      <c r="I117" s="559"/>
      <c r="J117" s="559"/>
      <c r="K117" s="559"/>
      <c r="L117" s="559"/>
      <c r="M117" s="559"/>
      <c r="N117" s="559"/>
      <c r="O117" s="559"/>
      <c r="P117" s="559"/>
      <c r="Q117" s="559"/>
      <c r="R117" s="559"/>
      <c r="S117" s="559"/>
    </row>
    <row r="118" spans="1:19">
      <c r="A118" s="534"/>
      <c r="B118" s="534"/>
      <c r="C118" s="535"/>
      <c r="D118" s="536"/>
      <c r="E118" s="536"/>
      <c r="F118" s="534"/>
      <c r="G118" s="581"/>
      <c r="H118" s="559"/>
      <c r="I118" s="559"/>
      <c r="J118" s="559"/>
      <c r="K118" s="559"/>
      <c r="L118" s="559"/>
      <c r="M118" s="559"/>
      <c r="N118" s="559"/>
      <c r="O118" s="559"/>
      <c r="P118" s="559"/>
      <c r="Q118" s="559"/>
      <c r="R118" s="559"/>
      <c r="S118" s="559"/>
    </row>
    <row r="119" spans="1:19">
      <c r="A119" s="583"/>
      <c r="B119" s="583" t="s">
        <v>961</v>
      </c>
      <c r="C119" s="583"/>
      <c r="D119" s="583"/>
      <c r="E119" s="583"/>
      <c r="F119" s="853">
        <f>F114</f>
        <v>2266320</v>
      </c>
      <c r="G119" s="853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</row>
    <row r="120" spans="1:19">
      <c r="A120" s="583"/>
      <c r="B120" s="583"/>
      <c r="C120" s="583"/>
      <c r="D120" s="583"/>
      <c r="E120" s="583"/>
      <c r="F120" s="583"/>
      <c r="G120" s="583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</row>
    <row r="121" spans="1:19">
      <c r="A121" s="583"/>
      <c r="B121" s="583" t="s">
        <v>960</v>
      </c>
      <c r="C121" s="583"/>
      <c r="D121" s="583"/>
      <c r="E121" s="583"/>
      <c r="F121" s="853">
        <f>G114</f>
        <v>3948000000</v>
      </c>
      <c r="G121" s="853"/>
      <c r="H121" s="559"/>
      <c r="I121" s="559"/>
      <c r="J121" s="559"/>
      <c r="K121" s="559"/>
      <c r="L121" s="559"/>
      <c r="M121" s="559"/>
      <c r="N121" s="559"/>
      <c r="O121" s="559"/>
      <c r="P121" s="559"/>
      <c r="Q121" s="559"/>
      <c r="R121" s="559"/>
      <c r="S121" s="559"/>
    </row>
    <row r="122" spans="1:19">
      <c r="A122" s="560"/>
      <c r="B122" s="560"/>
      <c r="C122" s="560"/>
      <c r="D122" s="560"/>
      <c r="E122" s="560"/>
      <c r="F122" s="854"/>
      <c r="G122" s="854"/>
      <c r="H122" s="559"/>
      <c r="I122" s="559"/>
      <c r="J122" s="559"/>
      <c r="K122" s="559"/>
      <c r="L122" s="559"/>
      <c r="M122" s="559"/>
      <c r="N122" s="559"/>
      <c r="O122" s="559"/>
      <c r="P122" s="559"/>
      <c r="Q122" s="559"/>
      <c r="R122" s="559"/>
      <c r="S122" s="559"/>
    </row>
    <row r="123" spans="1:19">
      <c r="A123" s="560"/>
      <c r="B123" s="560"/>
      <c r="C123" s="560"/>
      <c r="D123" s="560"/>
      <c r="E123" s="560"/>
      <c r="F123" s="853"/>
      <c r="G123" s="853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</row>
    <row r="124" spans="1:19">
      <c r="A124" s="559"/>
      <c r="B124" s="560" t="s">
        <v>930</v>
      </c>
      <c r="C124" s="559"/>
      <c r="D124" s="559"/>
      <c r="E124" s="559"/>
      <c r="F124" s="853">
        <f>F117-F119-F121</f>
        <v>0</v>
      </c>
      <c r="G124" s="853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</row>
    <row r="125" spans="1:19">
      <c r="A125" s="559"/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</row>
    <row r="126" spans="1:19">
      <c r="A126" s="803" t="s">
        <v>0</v>
      </c>
      <c r="B126" s="803" t="s">
        <v>21</v>
      </c>
      <c r="C126" s="855" t="s">
        <v>50</v>
      </c>
      <c r="D126" s="815" t="s">
        <v>51</v>
      </c>
      <c r="E126" s="815" t="s">
        <v>9</v>
      </c>
      <c r="F126" s="815" t="s">
        <v>117</v>
      </c>
      <c r="G126" s="815" t="s">
        <v>52</v>
      </c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</row>
    <row r="127" spans="1:19">
      <c r="A127" s="803"/>
      <c r="B127" s="803"/>
      <c r="C127" s="855"/>
      <c r="D127" s="815"/>
      <c r="E127" s="815"/>
      <c r="F127" s="815"/>
      <c r="G127" s="815"/>
      <c r="H127" s="559"/>
      <c r="I127" s="559"/>
      <c r="J127" s="559"/>
      <c r="K127" s="559"/>
      <c r="L127" s="559"/>
      <c r="M127" s="559"/>
      <c r="N127" s="559"/>
      <c r="O127" s="559"/>
      <c r="P127" s="559"/>
      <c r="Q127" s="559"/>
      <c r="R127" s="559"/>
      <c r="S127" s="559"/>
    </row>
    <row r="128" spans="1:19">
      <c r="A128" s="686">
        <v>1</v>
      </c>
      <c r="B128" s="264" t="s">
        <v>1153</v>
      </c>
      <c r="C128" s="510">
        <v>105560</v>
      </c>
      <c r="D128" s="511">
        <v>22690</v>
      </c>
      <c r="E128" s="511">
        <f>C128*D128</f>
        <v>2395156400</v>
      </c>
      <c r="F128" s="512"/>
      <c r="G128" s="511"/>
      <c r="H128" s="559"/>
      <c r="I128" s="559"/>
      <c r="J128" s="559"/>
      <c r="K128" s="559"/>
      <c r="L128" s="559"/>
      <c r="M128" s="559"/>
      <c r="N128" s="559"/>
      <c r="O128" s="559"/>
      <c r="P128" s="559"/>
      <c r="Q128" s="559"/>
      <c r="R128" s="559"/>
      <c r="S128" s="559"/>
    </row>
    <row r="129" spans="1:19">
      <c r="A129" s="686">
        <v>2</v>
      </c>
      <c r="B129" s="264" t="s">
        <v>1166</v>
      </c>
      <c r="C129" s="510">
        <v>174174</v>
      </c>
      <c r="D129" s="511">
        <v>22690</v>
      </c>
      <c r="E129" s="511">
        <f>C129*D129</f>
        <v>3952008060</v>
      </c>
      <c r="F129" s="512"/>
      <c r="G129" s="511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</row>
    <row r="130" spans="1:19">
      <c r="A130" s="710">
        <v>3</v>
      </c>
      <c r="B130" s="264" t="s">
        <v>1167</v>
      </c>
      <c r="C130" s="510">
        <f>158283.5+65.5</f>
        <v>158349</v>
      </c>
      <c r="D130" s="511">
        <v>22690</v>
      </c>
      <c r="E130" s="511">
        <f>C130*D130</f>
        <v>3592938810</v>
      </c>
      <c r="F130" s="512"/>
      <c r="G130" s="511"/>
      <c r="H130" s="559"/>
      <c r="I130" s="559"/>
      <c r="J130" s="559"/>
      <c r="K130" s="559"/>
      <c r="L130" s="559"/>
      <c r="M130" s="559"/>
      <c r="N130" s="559"/>
      <c r="O130" s="559"/>
      <c r="P130" s="559"/>
      <c r="Q130" s="559"/>
      <c r="R130" s="559"/>
      <c r="S130" s="559"/>
    </row>
    <row r="131" spans="1:19">
      <c r="A131" s="710">
        <v>4</v>
      </c>
      <c r="B131" s="264" t="s">
        <v>1175</v>
      </c>
      <c r="C131" s="510">
        <v>265034</v>
      </c>
      <c r="D131" s="511">
        <v>22690</v>
      </c>
      <c r="E131" s="511">
        <f>C131*D131</f>
        <v>6013621460</v>
      </c>
      <c r="F131" s="512"/>
      <c r="G131" s="511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</row>
    <row r="132" spans="1:19">
      <c r="A132" s="710">
        <v>5</v>
      </c>
      <c r="B132" s="253" t="s">
        <v>959</v>
      </c>
      <c r="C132" s="309"/>
      <c r="D132" s="255"/>
      <c r="E132" s="255"/>
      <c r="F132" s="254">
        <f>56.5*4*D128</f>
        <v>5127940</v>
      </c>
      <c r="G132" s="255"/>
      <c r="H132" s="559"/>
      <c r="I132" s="559"/>
      <c r="J132" s="559"/>
      <c r="K132" s="559"/>
      <c r="L132" s="559"/>
      <c r="M132" s="559"/>
      <c r="N132" s="559"/>
      <c r="O132" s="559"/>
      <c r="P132" s="559"/>
      <c r="Q132" s="559"/>
      <c r="R132" s="559"/>
      <c r="S132" s="559"/>
    </row>
    <row r="133" spans="1:19">
      <c r="A133" s="710">
        <v>6</v>
      </c>
      <c r="B133" s="253" t="s">
        <v>1168</v>
      </c>
      <c r="C133" s="309"/>
      <c r="D133" s="255"/>
      <c r="E133" s="255"/>
      <c r="F133" s="254">
        <f>68000000*12</f>
        <v>816000000</v>
      </c>
      <c r="G133" s="255"/>
      <c r="H133" s="559"/>
      <c r="I133" s="559"/>
      <c r="J133" s="559"/>
      <c r="K133" s="559"/>
      <c r="L133" s="559"/>
      <c r="M133" s="559"/>
      <c r="N133" s="559"/>
      <c r="O133" s="559"/>
      <c r="P133" s="559"/>
      <c r="Q133" s="559"/>
      <c r="R133" s="559"/>
      <c r="S133" s="559"/>
    </row>
    <row r="134" spans="1:19">
      <c r="A134" s="710">
        <v>7</v>
      </c>
      <c r="B134" s="256" t="s">
        <v>958</v>
      </c>
      <c r="C134" s="263"/>
      <c r="D134" s="258"/>
      <c r="E134" s="258"/>
      <c r="F134" s="254">
        <f>12*2880000</f>
        <v>34560000</v>
      </c>
      <c r="G134" s="255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</row>
    <row r="135" spans="1:19">
      <c r="A135" s="710">
        <v>8</v>
      </c>
      <c r="B135" s="253" t="s">
        <v>1159</v>
      </c>
      <c r="C135" s="309"/>
      <c r="D135" s="255"/>
      <c r="E135" s="255"/>
      <c r="F135" s="254">
        <f>105560*48500</f>
        <v>5119660000</v>
      </c>
      <c r="G135" s="255"/>
      <c r="H135" s="559"/>
      <c r="I135" s="559"/>
      <c r="J135" s="559"/>
      <c r="K135" s="559"/>
      <c r="L135" s="559"/>
      <c r="M135" s="559"/>
      <c r="N135" s="559"/>
      <c r="O135" s="559"/>
      <c r="P135" s="559"/>
      <c r="Q135" s="559"/>
      <c r="R135" s="559"/>
      <c r="S135" s="559"/>
    </row>
    <row r="136" spans="1:19">
      <c r="A136" s="710">
        <v>9</v>
      </c>
      <c r="B136" s="253" t="s">
        <v>1176</v>
      </c>
      <c r="C136" s="309"/>
      <c r="D136" s="255"/>
      <c r="E136" s="255"/>
      <c r="F136" s="254">
        <f>52780*48500</f>
        <v>2559830000</v>
      </c>
      <c r="G136" s="255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</row>
    <row r="137" spans="1:19">
      <c r="A137" s="710">
        <v>10</v>
      </c>
      <c r="B137" s="256" t="s">
        <v>1158</v>
      </c>
      <c r="C137" s="310"/>
      <c r="D137" s="255"/>
      <c r="E137" s="255"/>
      <c r="F137" s="254">
        <v>550000</v>
      </c>
      <c r="G137" s="255">
        <v>1000000000</v>
      </c>
      <c r="H137" s="559"/>
      <c r="I137" s="559"/>
      <c r="J137" s="559"/>
      <c r="K137" s="559"/>
      <c r="L137" s="559"/>
      <c r="M137" s="559"/>
      <c r="N137" s="559"/>
      <c r="O137" s="559"/>
      <c r="P137" s="559"/>
      <c r="Q137" s="559"/>
      <c r="R137" s="559"/>
      <c r="S137" s="559"/>
    </row>
    <row r="138" spans="1:19">
      <c r="A138" s="710">
        <v>11</v>
      </c>
      <c r="B138" s="256" t="s">
        <v>1177</v>
      </c>
      <c r="C138" s="310"/>
      <c r="D138" s="255"/>
      <c r="E138" s="255"/>
      <c r="F138" s="254">
        <v>770000</v>
      </c>
      <c r="G138" s="255">
        <v>1000000000</v>
      </c>
      <c r="H138" s="559"/>
      <c r="I138" s="559"/>
      <c r="J138" s="559"/>
      <c r="K138" s="559"/>
      <c r="L138" s="559"/>
      <c r="M138" s="559"/>
      <c r="N138" s="559"/>
      <c r="O138" s="559"/>
      <c r="P138" s="559"/>
      <c r="Q138" s="559"/>
      <c r="R138" s="559"/>
      <c r="S138" s="559"/>
    </row>
    <row r="139" spans="1:19">
      <c r="A139" s="710">
        <v>12</v>
      </c>
      <c r="B139" s="256" t="s">
        <v>1178</v>
      </c>
      <c r="C139" s="310"/>
      <c r="D139" s="255"/>
      <c r="E139" s="255"/>
      <c r="F139" s="254">
        <v>1100000</v>
      </c>
      <c r="G139" s="255">
        <v>1966587000</v>
      </c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</row>
    <row r="140" spans="1:19">
      <c r="A140" s="710">
        <v>13</v>
      </c>
      <c r="B140" s="256" t="s">
        <v>1181</v>
      </c>
      <c r="C140" s="310"/>
      <c r="D140" s="255"/>
      <c r="E140" s="255"/>
      <c r="F140" s="254">
        <v>2200000</v>
      </c>
      <c r="G140" s="255">
        <v>3000000000</v>
      </c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</row>
    <row r="141" spans="1:19">
      <c r="A141" s="710">
        <v>14</v>
      </c>
      <c r="B141" s="256"/>
      <c r="C141" s="310"/>
      <c r="D141" s="255"/>
      <c r="E141" s="255"/>
      <c r="F141" s="254"/>
      <c r="G141" s="255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</row>
    <row r="142" spans="1:19">
      <c r="A142" s="686"/>
      <c r="B142" s="256"/>
      <c r="C142" s="310"/>
      <c r="D142" s="255"/>
      <c r="E142" s="255"/>
      <c r="F142" s="254"/>
      <c r="G142" s="255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</row>
    <row r="143" spans="1:19">
      <c r="A143" s="376"/>
      <c r="B143" s="376" t="s">
        <v>57</v>
      </c>
      <c r="C143" s="262">
        <f>SUM(C128:C142)</f>
        <v>703117</v>
      </c>
      <c r="D143" s="262"/>
      <c r="E143" s="261">
        <f>SUM(E128:E142)</f>
        <v>15953724730</v>
      </c>
      <c r="F143" s="261">
        <f>SUM(F128:F142)</f>
        <v>8539797940</v>
      </c>
      <c r="G143" s="261">
        <f>SUM(G128:G142)</f>
        <v>6966587000</v>
      </c>
      <c r="H143" s="559"/>
      <c r="I143" s="559"/>
      <c r="J143" s="559"/>
      <c r="K143" s="559"/>
      <c r="L143" s="559"/>
      <c r="M143" s="559"/>
      <c r="N143" s="559"/>
      <c r="O143" s="559"/>
      <c r="P143" s="559"/>
      <c r="Q143" s="559"/>
      <c r="R143" s="559"/>
      <c r="S143" s="559"/>
    </row>
    <row r="144" spans="1:19">
      <c r="A144" s="534"/>
      <c r="B144" s="534"/>
      <c r="C144" s="535"/>
      <c r="D144" s="536"/>
      <c r="E144" s="536"/>
      <c r="F144" s="534"/>
      <c r="G144" s="581"/>
      <c r="H144" s="559"/>
      <c r="I144" s="559"/>
      <c r="J144" s="559"/>
      <c r="K144" s="559"/>
      <c r="L144" s="559"/>
      <c r="M144" s="559"/>
      <c r="N144" s="559"/>
      <c r="O144" s="559"/>
      <c r="P144" s="559"/>
      <c r="Q144" s="559"/>
      <c r="R144" s="559"/>
      <c r="S144" s="559"/>
    </row>
    <row r="145" spans="1:19">
      <c r="A145" s="534"/>
      <c r="B145" s="582"/>
      <c r="C145" s="535"/>
      <c r="D145" s="536"/>
      <c r="E145" s="536"/>
      <c r="F145" s="534"/>
      <c r="G145" s="581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</row>
    <row r="146" spans="1:19">
      <c r="A146" s="534"/>
      <c r="B146" s="534" t="s">
        <v>929</v>
      </c>
      <c r="C146" s="535">
        <f>C143</f>
        <v>703117</v>
      </c>
      <c r="D146" s="536"/>
      <c r="E146" s="536"/>
      <c r="F146" s="853">
        <f>E143</f>
        <v>15953724730</v>
      </c>
      <c r="G146" s="853"/>
      <c r="H146" s="559"/>
      <c r="I146" s="559"/>
      <c r="J146" s="559"/>
      <c r="K146" s="559"/>
      <c r="L146" s="559"/>
      <c r="M146" s="559"/>
      <c r="N146" s="559"/>
      <c r="O146" s="559"/>
      <c r="P146" s="559"/>
      <c r="Q146" s="559"/>
      <c r="R146" s="559"/>
      <c r="S146" s="559"/>
    </row>
    <row r="147" spans="1:19">
      <c r="A147" s="534"/>
      <c r="B147" s="534"/>
      <c r="C147" s="535"/>
      <c r="D147" s="536"/>
      <c r="E147" s="536"/>
      <c r="F147" s="534"/>
      <c r="G147" s="581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</row>
    <row r="148" spans="1:19">
      <c r="A148" s="583"/>
      <c r="B148" s="583" t="s">
        <v>961</v>
      </c>
      <c r="C148" s="583"/>
      <c r="D148" s="583"/>
      <c r="E148" s="583"/>
      <c r="F148" s="853">
        <f>F143</f>
        <v>8539797940</v>
      </c>
      <c r="G148" s="853"/>
      <c r="H148" s="559"/>
      <c r="I148" s="559"/>
      <c r="J148" s="559"/>
      <c r="K148" s="559"/>
      <c r="L148" s="559"/>
      <c r="M148" s="559"/>
      <c r="N148" s="559"/>
      <c r="O148" s="559"/>
      <c r="P148" s="559"/>
      <c r="Q148" s="559"/>
      <c r="R148" s="559"/>
      <c r="S148" s="559"/>
    </row>
    <row r="149" spans="1:19">
      <c r="A149" s="583"/>
      <c r="B149" s="583"/>
      <c r="C149" s="583"/>
      <c r="D149" s="583"/>
      <c r="E149" s="583"/>
      <c r="F149" s="583"/>
      <c r="G149" s="583"/>
      <c r="H149" s="559"/>
      <c r="I149" s="559"/>
      <c r="J149" s="559"/>
      <c r="K149" s="559"/>
      <c r="L149" s="559"/>
      <c r="M149" s="559"/>
      <c r="N149" s="559"/>
      <c r="O149" s="559"/>
      <c r="P149" s="559"/>
      <c r="Q149" s="559"/>
      <c r="R149" s="559"/>
      <c r="S149" s="559"/>
    </row>
    <row r="150" spans="1:19">
      <c r="A150" s="583"/>
      <c r="B150" s="583" t="s">
        <v>960</v>
      </c>
      <c r="C150" s="583"/>
      <c r="D150" s="583"/>
      <c r="E150" s="583"/>
      <c r="F150" s="853">
        <f>G143</f>
        <v>6966587000</v>
      </c>
      <c r="G150" s="853"/>
      <c r="H150" s="559"/>
      <c r="I150" s="559"/>
      <c r="J150" s="559"/>
      <c r="K150" s="559"/>
      <c r="L150" s="559"/>
      <c r="M150" s="559"/>
      <c r="N150" s="559"/>
      <c r="O150" s="559"/>
      <c r="P150" s="559"/>
      <c r="Q150" s="559"/>
      <c r="R150" s="559"/>
      <c r="S150" s="559"/>
    </row>
    <row r="151" spans="1:19">
      <c r="A151" s="560"/>
      <c r="B151" s="560"/>
      <c r="C151" s="560"/>
      <c r="D151" s="560"/>
      <c r="E151" s="560"/>
      <c r="F151" s="854"/>
      <c r="G151" s="854"/>
      <c r="H151" s="559"/>
      <c r="I151" s="559"/>
      <c r="J151" s="559"/>
      <c r="K151" s="559"/>
      <c r="L151" s="559"/>
      <c r="M151" s="559"/>
      <c r="N151" s="559"/>
      <c r="O151" s="559"/>
      <c r="P151" s="559"/>
      <c r="Q151" s="559"/>
      <c r="R151" s="559"/>
      <c r="S151" s="559"/>
    </row>
    <row r="152" spans="1:19">
      <c r="A152" s="560"/>
      <c r="B152" s="560"/>
      <c r="C152" s="560"/>
      <c r="D152" s="560"/>
      <c r="E152" s="560"/>
      <c r="F152" s="853"/>
      <c r="G152" s="853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</row>
    <row r="153" spans="1:19">
      <c r="A153" s="559"/>
      <c r="B153" s="560" t="s">
        <v>930</v>
      </c>
      <c r="C153" s="559"/>
      <c r="D153" s="559"/>
      <c r="E153" s="559"/>
      <c r="F153" s="853">
        <f>F146-F148-F150</f>
        <v>447339790</v>
      </c>
      <c r="G153" s="853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</row>
    <row r="154" spans="1:19">
      <c r="A154" s="559"/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</row>
    <row r="155" spans="1:19">
      <c r="A155" s="559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</row>
    <row r="156" spans="1:19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59"/>
      <c r="P156" s="559"/>
      <c r="Q156" s="559"/>
      <c r="R156" s="559"/>
      <c r="S156" s="559"/>
    </row>
    <row r="157" spans="1:19">
      <c r="A157" s="803" t="s">
        <v>0</v>
      </c>
      <c r="B157" s="803" t="s">
        <v>21</v>
      </c>
      <c r="C157" s="855" t="s">
        <v>50</v>
      </c>
      <c r="D157" s="815" t="s">
        <v>51</v>
      </c>
      <c r="E157" s="815" t="s">
        <v>9</v>
      </c>
      <c r="F157" s="815" t="s">
        <v>117</v>
      </c>
      <c r="G157" s="815" t="s">
        <v>52</v>
      </c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</row>
    <row r="158" spans="1:19">
      <c r="A158" s="803"/>
      <c r="B158" s="803"/>
      <c r="C158" s="855"/>
      <c r="D158" s="815"/>
      <c r="E158" s="815"/>
      <c r="F158" s="815"/>
      <c r="G158" s="815"/>
      <c r="H158" s="559"/>
      <c r="I158" s="559"/>
      <c r="J158" s="559"/>
      <c r="K158" s="559"/>
      <c r="L158" s="559"/>
      <c r="M158" s="559"/>
      <c r="N158" s="559"/>
      <c r="O158" s="559"/>
      <c r="P158" s="559"/>
      <c r="Q158" s="559"/>
      <c r="R158" s="559"/>
      <c r="S158" s="559"/>
    </row>
    <row r="159" spans="1:19">
      <c r="A159" s="710">
        <v>1</v>
      </c>
      <c r="B159" s="264" t="s">
        <v>1182</v>
      </c>
      <c r="C159" s="510">
        <v>158340</v>
      </c>
      <c r="D159" s="511">
        <v>22685</v>
      </c>
      <c r="E159" s="511">
        <f>C159*D159</f>
        <v>3591942900</v>
      </c>
      <c r="F159" s="512"/>
      <c r="G159" s="511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</row>
    <row r="160" spans="1:19">
      <c r="A160" s="710">
        <v>2</v>
      </c>
      <c r="B160" s="253" t="s">
        <v>959</v>
      </c>
      <c r="C160" s="309"/>
      <c r="D160" s="255"/>
      <c r="E160" s="255"/>
      <c r="F160" s="254">
        <f>56.5*D159</f>
        <v>1281702.5</v>
      </c>
      <c r="G160" s="255"/>
      <c r="H160" s="559"/>
      <c r="I160" s="559"/>
      <c r="J160" s="559"/>
      <c r="K160" s="559"/>
      <c r="L160" s="559"/>
      <c r="M160" s="559"/>
      <c r="N160" s="559"/>
      <c r="O160" s="559"/>
      <c r="P160" s="559"/>
      <c r="Q160" s="559"/>
      <c r="R160" s="559"/>
      <c r="S160" s="559"/>
    </row>
    <row r="161" spans="1:19">
      <c r="A161" s="710">
        <v>3</v>
      </c>
      <c r="B161" s="256" t="s">
        <v>1183</v>
      </c>
      <c r="C161" s="310"/>
      <c r="D161" s="255"/>
      <c r="E161" s="255"/>
      <c r="F161" s="254">
        <v>1100000</v>
      </c>
      <c r="G161" s="255">
        <v>1370000000</v>
      </c>
      <c r="H161" s="559"/>
      <c r="I161" s="559"/>
      <c r="J161" s="559"/>
      <c r="K161" s="559"/>
      <c r="L161" s="559"/>
      <c r="M161" s="559"/>
      <c r="N161" s="559"/>
      <c r="O161" s="559"/>
      <c r="P161" s="559"/>
      <c r="Q161" s="559"/>
      <c r="R161" s="559"/>
      <c r="S161" s="559"/>
    </row>
    <row r="162" spans="1:19">
      <c r="A162" s="710">
        <v>4</v>
      </c>
      <c r="B162" s="256" t="s">
        <v>1122</v>
      </c>
      <c r="C162" s="310"/>
      <c r="D162" s="255"/>
      <c r="E162" s="255"/>
      <c r="F162" s="254">
        <v>1100000</v>
      </c>
      <c r="G162" s="255">
        <v>2218461000</v>
      </c>
      <c r="H162" s="559"/>
      <c r="I162" s="559"/>
      <c r="J162" s="559"/>
      <c r="K162" s="559"/>
      <c r="L162" s="559"/>
      <c r="M162" s="559"/>
      <c r="N162" s="559"/>
      <c r="O162" s="559"/>
      <c r="P162" s="559"/>
      <c r="Q162" s="559"/>
      <c r="R162" s="559"/>
      <c r="S162" s="559"/>
    </row>
    <row r="163" spans="1:19">
      <c r="A163" s="710"/>
      <c r="B163" s="256"/>
      <c r="C163" s="310"/>
      <c r="D163" s="255"/>
      <c r="E163" s="255"/>
      <c r="F163" s="254"/>
      <c r="G163" s="255"/>
      <c r="H163" s="559"/>
      <c r="I163" s="559"/>
      <c r="J163" s="559"/>
      <c r="K163" s="559"/>
      <c r="L163" s="559"/>
      <c r="M163" s="559"/>
      <c r="N163" s="559"/>
      <c r="O163" s="559"/>
      <c r="P163" s="559"/>
      <c r="Q163" s="559"/>
      <c r="R163" s="559"/>
      <c r="S163" s="559"/>
    </row>
    <row r="164" spans="1:19">
      <c r="A164" s="376"/>
      <c r="B164" s="376" t="s">
        <v>57</v>
      </c>
      <c r="C164" s="262">
        <f>SUM(C159:C163)</f>
        <v>158340</v>
      </c>
      <c r="D164" s="262"/>
      <c r="E164" s="261">
        <f>SUM(E159:E163)</f>
        <v>3591942900</v>
      </c>
      <c r="F164" s="261">
        <f>SUM(F159:F163)</f>
        <v>3481702.5</v>
      </c>
      <c r="G164" s="261">
        <f>SUM(G159:G163)</f>
        <v>3588461000</v>
      </c>
      <c r="H164" s="559"/>
      <c r="I164" s="559"/>
      <c r="J164" s="559"/>
      <c r="K164" s="559"/>
      <c r="L164" s="559"/>
      <c r="M164" s="559"/>
      <c r="N164" s="559"/>
      <c r="O164" s="559"/>
      <c r="P164" s="559"/>
      <c r="Q164" s="559"/>
      <c r="R164" s="559"/>
      <c r="S164" s="559"/>
    </row>
    <row r="165" spans="1:19">
      <c r="A165" s="534"/>
      <c r="B165" s="534"/>
      <c r="C165" s="535"/>
      <c r="D165" s="536"/>
      <c r="E165" s="536"/>
      <c r="F165" s="534"/>
      <c r="G165" s="581"/>
      <c r="H165" s="559"/>
      <c r="I165" s="559"/>
      <c r="J165" s="559"/>
      <c r="K165" s="559"/>
      <c r="L165" s="559"/>
      <c r="M165" s="559"/>
      <c r="N165" s="559"/>
      <c r="O165" s="559"/>
      <c r="P165" s="559"/>
      <c r="Q165" s="559"/>
      <c r="R165" s="559"/>
      <c r="S165" s="559"/>
    </row>
    <row r="166" spans="1:19">
      <c r="A166" s="534"/>
      <c r="B166" s="582"/>
      <c r="C166" s="535"/>
      <c r="D166" s="536"/>
      <c r="E166" s="536"/>
      <c r="F166" s="534"/>
      <c r="G166" s="581"/>
      <c r="H166" s="559"/>
      <c r="I166" s="559"/>
      <c r="J166" s="559"/>
      <c r="K166" s="559"/>
      <c r="L166" s="559"/>
      <c r="M166" s="559"/>
      <c r="N166" s="559"/>
      <c r="O166" s="559"/>
      <c r="P166" s="559"/>
      <c r="Q166" s="559"/>
      <c r="R166" s="559"/>
      <c r="S166" s="559"/>
    </row>
    <row r="167" spans="1:19">
      <c r="A167" s="534"/>
      <c r="B167" s="534" t="s">
        <v>929</v>
      </c>
      <c r="C167" s="535">
        <f>C164</f>
        <v>158340</v>
      </c>
      <c r="D167" s="536"/>
      <c r="E167" s="536"/>
      <c r="F167" s="853">
        <f>E164</f>
        <v>3591942900</v>
      </c>
      <c r="G167" s="853"/>
      <c r="H167" s="559"/>
      <c r="I167" s="559"/>
      <c r="J167" s="559"/>
      <c r="K167" s="559"/>
      <c r="L167" s="559"/>
      <c r="M167" s="559"/>
      <c r="N167" s="559"/>
      <c r="O167" s="559"/>
      <c r="P167" s="559"/>
      <c r="Q167" s="559"/>
      <c r="R167" s="559"/>
      <c r="S167" s="559"/>
    </row>
    <row r="168" spans="1:19">
      <c r="A168" s="534"/>
      <c r="B168" s="534"/>
      <c r="C168" s="535"/>
      <c r="D168" s="536"/>
      <c r="E168" s="536"/>
      <c r="F168" s="534"/>
      <c r="G168" s="581"/>
      <c r="H168" s="559"/>
      <c r="I168" s="559"/>
      <c r="J168" s="559"/>
      <c r="K168" s="559"/>
      <c r="L168" s="559"/>
      <c r="M168" s="559"/>
      <c r="N168" s="559"/>
      <c r="O168" s="559"/>
      <c r="P168" s="559"/>
      <c r="Q168" s="559"/>
      <c r="R168" s="559"/>
      <c r="S168" s="559"/>
    </row>
    <row r="169" spans="1:19">
      <c r="A169" s="583"/>
      <c r="B169" s="583" t="s">
        <v>961</v>
      </c>
      <c r="C169" s="583"/>
      <c r="D169" s="583"/>
      <c r="E169" s="583"/>
      <c r="F169" s="853">
        <f>F164</f>
        <v>3481702.5</v>
      </c>
      <c r="G169" s="853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</row>
    <row r="170" spans="1:19">
      <c r="A170" s="583"/>
      <c r="B170" s="583"/>
      <c r="C170" s="583"/>
      <c r="D170" s="583"/>
      <c r="E170" s="583"/>
      <c r="F170" s="583"/>
      <c r="G170" s="583"/>
      <c r="H170" s="559"/>
      <c r="I170" s="559"/>
      <c r="J170" s="559"/>
      <c r="K170" s="559"/>
      <c r="L170" s="559"/>
      <c r="M170" s="559"/>
      <c r="N170" s="559"/>
      <c r="O170" s="559"/>
      <c r="P170" s="559"/>
      <c r="Q170" s="559"/>
      <c r="R170" s="559"/>
      <c r="S170" s="559"/>
    </row>
    <row r="171" spans="1:19">
      <c r="A171" s="583"/>
      <c r="B171" s="583" t="s">
        <v>960</v>
      </c>
      <c r="C171" s="583"/>
      <c r="D171" s="583"/>
      <c r="E171" s="583"/>
      <c r="F171" s="853">
        <f>G164</f>
        <v>3588461000</v>
      </c>
      <c r="G171" s="853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</row>
    <row r="172" spans="1:19">
      <c r="A172" s="560"/>
      <c r="B172" s="560"/>
      <c r="C172" s="560"/>
      <c r="D172" s="560"/>
      <c r="E172" s="560"/>
      <c r="F172" s="854"/>
      <c r="G172" s="854"/>
      <c r="H172" s="559"/>
      <c r="I172" s="559"/>
      <c r="J172" s="559"/>
      <c r="K172" s="559"/>
      <c r="L172" s="559"/>
      <c r="M172" s="559"/>
      <c r="N172" s="559"/>
      <c r="O172" s="559"/>
      <c r="P172" s="559"/>
      <c r="Q172" s="559"/>
      <c r="R172" s="559"/>
      <c r="S172" s="559"/>
    </row>
    <row r="173" spans="1:19">
      <c r="A173" s="560"/>
      <c r="B173" s="560"/>
      <c r="C173" s="560"/>
      <c r="D173" s="560"/>
      <c r="E173" s="560"/>
      <c r="F173" s="853"/>
      <c r="G173" s="853"/>
      <c r="H173" s="559"/>
      <c r="I173" s="559"/>
      <c r="J173" s="559"/>
      <c r="K173" s="559"/>
      <c r="L173" s="559"/>
      <c r="M173" s="559"/>
      <c r="N173" s="559"/>
      <c r="O173" s="559"/>
      <c r="P173" s="559"/>
      <c r="Q173" s="559"/>
      <c r="R173" s="559"/>
      <c r="S173" s="559"/>
    </row>
    <row r="174" spans="1:19">
      <c r="A174" s="559"/>
      <c r="B174" s="560" t="s">
        <v>930</v>
      </c>
      <c r="C174" s="559"/>
      <c r="D174" s="559"/>
      <c r="E174" s="559"/>
      <c r="F174" s="853">
        <f>F167-F169-F171</f>
        <v>197.5</v>
      </c>
      <c r="G174" s="853"/>
      <c r="H174" s="559"/>
      <c r="I174" s="559"/>
      <c r="J174" s="559"/>
      <c r="K174" s="559"/>
      <c r="L174" s="559"/>
      <c r="M174" s="559"/>
      <c r="N174" s="559"/>
      <c r="O174" s="559"/>
      <c r="P174" s="559"/>
      <c r="Q174" s="559"/>
      <c r="R174" s="559"/>
      <c r="S174" s="559"/>
    </row>
    <row r="175" spans="1:19">
      <c r="A175" s="559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</row>
    <row r="176" spans="1:19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59"/>
      <c r="P176" s="559"/>
      <c r="Q176" s="559"/>
      <c r="R176" s="559"/>
      <c r="S176" s="559"/>
    </row>
    <row r="177" spans="1:19">
      <c r="A177" s="559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</row>
    <row r="178" spans="1:19">
      <c r="A178" s="803" t="s">
        <v>0</v>
      </c>
      <c r="B178" s="803" t="s">
        <v>21</v>
      </c>
      <c r="C178" s="855" t="s">
        <v>50</v>
      </c>
      <c r="D178" s="815" t="s">
        <v>51</v>
      </c>
      <c r="E178" s="815" t="s">
        <v>9</v>
      </c>
      <c r="F178" s="815" t="s">
        <v>117</v>
      </c>
      <c r="G178" s="815" t="s">
        <v>52</v>
      </c>
      <c r="H178" s="559"/>
      <c r="I178" s="559"/>
      <c r="J178" s="559"/>
      <c r="K178" s="559"/>
      <c r="L178" s="559"/>
      <c r="M178" s="559"/>
      <c r="N178" s="559"/>
      <c r="O178" s="559"/>
      <c r="P178" s="559"/>
      <c r="Q178" s="559"/>
      <c r="R178" s="559"/>
      <c r="S178" s="559"/>
    </row>
    <row r="179" spans="1:19">
      <c r="A179" s="803"/>
      <c r="B179" s="803"/>
      <c r="C179" s="855"/>
      <c r="D179" s="815"/>
      <c r="E179" s="815"/>
      <c r="F179" s="815"/>
      <c r="G179" s="815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</row>
    <row r="180" spans="1:19">
      <c r="A180" s="710">
        <v>1</v>
      </c>
      <c r="B180" s="264" t="s">
        <v>1185</v>
      </c>
      <c r="C180" s="510">
        <v>142506</v>
      </c>
      <c r="D180" s="511">
        <v>22675</v>
      </c>
      <c r="E180" s="511">
        <f>C180*D180</f>
        <v>3231323550</v>
      </c>
      <c r="F180" s="512"/>
      <c r="G180" s="511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</row>
    <row r="181" spans="1:19">
      <c r="A181" s="710">
        <v>2</v>
      </c>
      <c r="B181" s="264" t="s">
        <v>1200</v>
      </c>
      <c r="C181" s="510">
        <v>142506</v>
      </c>
      <c r="D181" s="511"/>
      <c r="E181" s="511">
        <f>C181*D180</f>
        <v>3231323550</v>
      </c>
      <c r="F181" s="512"/>
      <c r="G181" s="511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</row>
    <row r="182" spans="1:19">
      <c r="A182" s="710">
        <v>3</v>
      </c>
      <c r="B182" s="264" t="s">
        <v>1208</v>
      </c>
      <c r="C182" s="510">
        <v>202832</v>
      </c>
      <c r="D182" s="511"/>
      <c r="E182" s="511">
        <f>C182*D180</f>
        <v>4599215600</v>
      </c>
      <c r="F182" s="512"/>
      <c r="G182" s="511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</row>
    <row r="183" spans="1:19">
      <c r="A183" s="710">
        <v>4</v>
      </c>
      <c r="B183" s="253" t="s">
        <v>959</v>
      </c>
      <c r="C183" s="309"/>
      <c r="D183" s="255"/>
      <c r="E183" s="255"/>
      <c r="F183" s="254">
        <f>56.5*D180*3</f>
        <v>3843412.5</v>
      </c>
      <c r="G183" s="255"/>
      <c r="H183" s="559"/>
      <c r="I183" s="559"/>
      <c r="J183" s="559"/>
      <c r="K183" s="559"/>
      <c r="L183" s="559"/>
      <c r="M183" s="559"/>
      <c r="N183" s="559"/>
      <c r="O183" s="559"/>
      <c r="P183" s="559"/>
      <c r="Q183" s="559"/>
      <c r="R183" s="559"/>
      <c r="S183" s="559"/>
    </row>
    <row r="184" spans="1:19">
      <c r="A184" s="710">
        <v>5</v>
      </c>
      <c r="B184" s="253" t="s">
        <v>1220</v>
      </c>
      <c r="C184" s="309"/>
      <c r="D184" s="255"/>
      <c r="E184" s="255"/>
      <c r="F184" s="254">
        <f>68000000*14</f>
        <v>952000000</v>
      </c>
      <c r="G184" s="255"/>
      <c r="H184" s="559"/>
      <c r="I184" s="559"/>
      <c r="J184" s="559"/>
      <c r="K184" s="559"/>
      <c r="L184" s="559"/>
      <c r="M184" s="559"/>
      <c r="N184" s="559"/>
      <c r="O184" s="559"/>
      <c r="P184" s="559"/>
      <c r="Q184" s="559"/>
      <c r="R184" s="559"/>
      <c r="S184" s="559"/>
    </row>
    <row r="185" spans="1:19">
      <c r="A185" s="710">
        <v>6</v>
      </c>
      <c r="B185" s="256" t="s">
        <v>1223</v>
      </c>
      <c r="C185" s="263"/>
      <c r="D185" s="258"/>
      <c r="E185" s="258"/>
      <c r="F185" s="254">
        <f>9*2880000</f>
        <v>25920000</v>
      </c>
      <c r="G185" s="255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</row>
    <row r="186" spans="1:19">
      <c r="A186" s="710">
        <v>7</v>
      </c>
      <c r="B186" s="253" t="s">
        <v>1202</v>
      </c>
      <c r="C186" s="309"/>
      <c r="D186" s="255"/>
      <c r="E186" s="255"/>
      <c r="F186" s="254">
        <f>26390*48500</f>
        <v>1279915000</v>
      </c>
      <c r="G186" s="255"/>
      <c r="H186" s="559"/>
      <c r="I186" s="559"/>
      <c r="J186" s="559"/>
      <c r="K186" s="559"/>
      <c r="L186" s="559"/>
      <c r="M186" s="559"/>
      <c r="N186" s="559"/>
      <c r="O186" s="559"/>
      <c r="P186" s="559"/>
      <c r="Q186" s="559"/>
      <c r="R186" s="559"/>
      <c r="S186" s="559"/>
    </row>
    <row r="187" spans="1:19">
      <c r="A187" s="710">
        <v>8</v>
      </c>
      <c r="B187" s="253" t="s">
        <v>1203</v>
      </c>
      <c r="C187" s="309"/>
      <c r="D187" s="255"/>
      <c r="E187" s="255"/>
      <c r="F187" s="254">
        <f>26390*49000</f>
        <v>1293110000</v>
      </c>
      <c r="G187" s="255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</row>
    <row r="188" spans="1:19">
      <c r="A188" s="710">
        <v>9</v>
      </c>
      <c r="B188" s="253" t="s">
        <v>1206</v>
      </c>
      <c r="C188" s="309"/>
      <c r="D188" s="255"/>
      <c r="E188" s="255"/>
      <c r="F188" s="254">
        <f>52780*49500</f>
        <v>2612610000</v>
      </c>
      <c r="G188" s="255"/>
      <c r="H188" s="559"/>
      <c r="I188" s="559"/>
      <c r="J188" s="559"/>
      <c r="K188" s="559"/>
      <c r="L188" s="559"/>
      <c r="M188" s="559"/>
      <c r="N188" s="559"/>
      <c r="O188" s="559"/>
      <c r="P188" s="559"/>
      <c r="Q188" s="559"/>
      <c r="R188" s="559"/>
      <c r="S188" s="559"/>
    </row>
    <row r="189" spans="1:19">
      <c r="A189" s="710">
        <v>10</v>
      </c>
      <c r="B189" s="253" t="s">
        <v>1222</v>
      </c>
      <c r="C189" s="309"/>
      <c r="D189" s="255"/>
      <c r="E189" s="255"/>
      <c r="F189" s="254">
        <f>464*13*43000</f>
        <v>259376000</v>
      </c>
      <c r="G189" s="255"/>
      <c r="H189" s="559"/>
      <c r="I189" s="559"/>
      <c r="J189" s="559"/>
      <c r="K189" s="559"/>
      <c r="L189" s="559"/>
      <c r="M189" s="559"/>
      <c r="N189" s="559"/>
      <c r="O189" s="559"/>
      <c r="P189" s="559"/>
      <c r="Q189" s="559"/>
      <c r="R189" s="559"/>
      <c r="S189" s="559"/>
    </row>
    <row r="190" spans="1:19">
      <c r="A190" s="710">
        <v>10</v>
      </c>
      <c r="B190" s="253" t="s">
        <v>1221</v>
      </c>
      <c r="C190" s="309"/>
      <c r="D190" s="255"/>
      <c r="E190" s="255"/>
      <c r="F190" s="254">
        <f>1566*13*49500</f>
        <v>1007721000</v>
      </c>
      <c r="G190" s="255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</row>
    <row r="191" spans="1:19">
      <c r="A191" s="710">
        <v>11</v>
      </c>
      <c r="B191" s="256" t="s">
        <v>1211</v>
      </c>
      <c r="C191" s="310"/>
      <c r="D191" s="255"/>
      <c r="E191" s="255"/>
      <c r="F191" s="254">
        <v>1100000</v>
      </c>
      <c r="G191" s="255">
        <v>1900000000</v>
      </c>
      <c r="H191" s="559"/>
      <c r="I191" s="559"/>
      <c r="J191" s="559"/>
      <c r="K191" s="559"/>
      <c r="L191" s="559"/>
      <c r="M191" s="559"/>
      <c r="N191" s="559"/>
      <c r="O191" s="559"/>
      <c r="P191" s="559"/>
      <c r="Q191" s="559"/>
      <c r="R191" s="559"/>
      <c r="S191" s="559"/>
    </row>
    <row r="192" spans="1:19">
      <c r="A192" s="710">
        <v>12</v>
      </c>
      <c r="B192" s="256" t="s">
        <v>1210</v>
      </c>
      <c r="C192" s="310"/>
      <c r="D192" s="255"/>
      <c r="E192" s="255"/>
      <c r="F192" s="254">
        <v>1100000</v>
      </c>
      <c r="G192" s="255">
        <v>900000000</v>
      </c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</row>
    <row r="193" spans="1:19">
      <c r="A193" s="710">
        <v>13</v>
      </c>
      <c r="B193" s="256" t="s">
        <v>1212</v>
      </c>
      <c r="C193" s="310"/>
      <c r="D193" s="255"/>
      <c r="E193" s="255"/>
      <c r="F193" s="254">
        <v>1100000</v>
      </c>
      <c r="G193" s="255">
        <v>1000000000</v>
      </c>
      <c r="H193" s="559"/>
      <c r="I193" s="559"/>
      <c r="J193" s="559"/>
      <c r="K193" s="559"/>
      <c r="L193" s="559"/>
      <c r="M193" s="559"/>
      <c r="N193" s="559"/>
      <c r="O193" s="559"/>
      <c r="P193" s="559"/>
      <c r="Q193" s="559"/>
      <c r="R193" s="559"/>
      <c r="S193" s="559"/>
    </row>
    <row r="194" spans="1:19">
      <c r="A194" s="710"/>
      <c r="B194" s="256"/>
      <c r="C194" s="310"/>
      <c r="D194" s="255"/>
      <c r="E194" s="255"/>
      <c r="F194" s="254"/>
      <c r="G194" s="255"/>
      <c r="H194" s="559"/>
      <c r="I194" s="559"/>
      <c r="J194" s="559"/>
      <c r="K194" s="559"/>
      <c r="L194" s="559"/>
      <c r="M194" s="559"/>
      <c r="N194" s="559"/>
      <c r="O194" s="559"/>
      <c r="P194" s="559"/>
      <c r="Q194" s="559"/>
      <c r="R194" s="559"/>
      <c r="S194" s="559"/>
    </row>
    <row r="195" spans="1:19">
      <c r="A195" s="376"/>
      <c r="B195" s="376" t="s">
        <v>57</v>
      </c>
      <c r="C195" s="262">
        <f>SUM(C180:C194)</f>
        <v>487844</v>
      </c>
      <c r="D195" s="262"/>
      <c r="E195" s="261">
        <f>SUM(E180:E194)</f>
        <v>11061862700</v>
      </c>
      <c r="F195" s="261">
        <f>SUM(F180:F194)</f>
        <v>7437795412.5</v>
      </c>
      <c r="G195" s="261">
        <f>SUM(G180:G194)</f>
        <v>3800000000</v>
      </c>
      <c r="H195" s="559"/>
      <c r="I195" s="559"/>
      <c r="J195" s="559"/>
      <c r="K195" s="559"/>
      <c r="L195" s="559"/>
      <c r="M195" s="559"/>
      <c r="N195" s="559"/>
      <c r="O195" s="559"/>
      <c r="P195" s="559"/>
      <c r="Q195" s="559"/>
      <c r="R195" s="559"/>
      <c r="S195" s="559"/>
    </row>
    <row r="196" spans="1:19">
      <c r="A196" s="534"/>
      <c r="B196" s="534"/>
      <c r="C196" s="535"/>
      <c r="D196" s="536"/>
      <c r="E196" s="536"/>
      <c r="F196" s="534"/>
      <c r="G196" s="581"/>
      <c r="H196" s="559"/>
      <c r="I196" s="559"/>
      <c r="J196" s="559"/>
      <c r="K196" s="559"/>
      <c r="L196" s="559"/>
      <c r="M196" s="559"/>
      <c r="N196" s="559"/>
      <c r="O196" s="559"/>
      <c r="P196" s="559"/>
      <c r="Q196" s="559"/>
      <c r="R196" s="559"/>
      <c r="S196" s="559"/>
    </row>
    <row r="197" spans="1:19">
      <c r="A197" s="534"/>
      <c r="B197" s="582"/>
      <c r="C197" s="535"/>
      <c r="D197" s="536"/>
      <c r="E197" s="536"/>
      <c r="F197" s="534"/>
      <c r="G197" s="581"/>
      <c r="H197" s="559"/>
      <c r="I197" s="559"/>
      <c r="J197" s="559"/>
      <c r="K197" s="559"/>
      <c r="L197" s="559"/>
      <c r="M197" s="559"/>
      <c r="N197" s="559"/>
      <c r="O197" s="559"/>
      <c r="P197" s="559"/>
      <c r="Q197" s="559"/>
      <c r="R197" s="559"/>
      <c r="S197" s="559"/>
    </row>
    <row r="198" spans="1:19">
      <c r="A198" s="534"/>
      <c r="B198" s="534" t="s">
        <v>929</v>
      </c>
      <c r="C198" s="535">
        <f>C195</f>
        <v>487844</v>
      </c>
      <c r="D198" s="536"/>
      <c r="E198" s="536"/>
      <c r="F198" s="853">
        <f>E195</f>
        <v>11061862700</v>
      </c>
      <c r="G198" s="853"/>
      <c r="H198" s="559"/>
      <c r="I198" s="559"/>
      <c r="J198" s="559"/>
      <c r="K198" s="559"/>
      <c r="L198" s="559"/>
      <c r="M198" s="559"/>
      <c r="N198" s="559"/>
      <c r="O198" s="559"/>
      <c r="P198" s="559"/>
      <c r="Q198" s="559"/>
      <c r="R198" s="559"/>
      <c r="S198" s="559"/>
    </row>
    <row r="199" spans="1:19">
      <c r="A199" s="534"/>
      <c r="B199" s="534"/>
      <c r="C199" s="535"/>
      <c r="D199" s="536"/>
      <c r="E199" s="536"/>
      <c r="F199" s="534"/>
      <c r="G199" s="581"/>
      <c r="H199" s="559"/>
      <c r="I199" s="559"/>
      <c r="J199" s="559"/>
      <c r="K199" s="559"/>
      <c r="L199" s="559"/>
      <c r="M199" s="559"/>
      <c r="N199" s="559"/>
      <c r="O199" s="559"/>
      <c r="P199" s="559"/>
      <c r="Q199" s="559"/>
      <c r="R199" s="559"/>
      <c r="S199" s="559"/>
    </row>
    <row r="200" spans="1:19">
      <c r="A200" s="583"/>
      <c r="B200" s="583" t="s">
        <v>1190</v>
      </c>
      <c r="C200" s="583"/>
      <c r="D200" s="583"/>
      <c r="E200" s="583"/>
      <c r="F200" s="853">
        <f>F195</f>
        <v>7437795412.5</v>
      </c>
      <c r="G200" s="853"/>
      <c r="H200" s="559"/>
      <c r="I200" s="559"/>
      <c r="J200" s="559"/>
      <c r="K200" s="559"/>
      <c r="L200" s="559"/>
      <c r="M200" s="559"/>
      <c r="N200" s="559"/>
      <c r="O200" s="559"/>
      <c r="P200" s="559"/>
      <c r="Q200" s="559"/>
      <c r="R200" s="559"/>
      <c r="S200" s="559"/>
    </row>
    <row r="201" spans="1:19">
      <c r="A201" s="583"/>
      <c r="B201" s="583"/>
      <c r="C201" s="583"/>
      <c r="D201" s="583"/>
      <c r="E201" s="583"/>
      <c r="F201" s="583"/>
      <c r="G201" s="583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</row>
    <row r="202" spans="1:19">
      <c r="A202" s="583"/>
      <c r="B202" s="583" t="s">
        <v>960</v>
      </c>
      <c r="C202" s="583"/>
      <c r="D202" s="583"/>
      <c r="E202" s="583"/>
      <c r="F202" s="853">
        <f>G195</f>
        <v>3800000000</v>
      </c>
      <c r="G202" s="853"/>
      <c r="H202" s="559"/>
      <c r="I202" s="559"/>
      <c r="J202" s="559"/>
      <c r="K202" s="559"/>
      <c r="L202" s="559"/>
      <c r="M202" s="559"/>
      <c r="N202" s="559"/>
      <c r="O202" s="559"/>
      <c r="P202" s="559"/>
      <c r="Q202" s="559"/>
      <c r="R202" s="559"/>
      <c r="S202" s="559"/>
    </row>
    <row r="203" spans="1:19">
      <c r="A203" s="560"/>
      <c r="B203" s="560"/>
      <c r="C203" s="560"/>
      <c r="D203" s="560"/>
      <c r="E203" s="560"/>
      <c r="F203" s="854"/>
      <c r="G203" s="854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</row>
    <row r="204" spans="1:19">
      <c r="A204" s="560"/>
      <c r="B204" s="560"/>
      <c r="C204" s="560"/>
      <c r="D204" s="560"/>
      <c r="E204" s="560"/>
      <c r="F204" s="853"/>
      <c r="G204" s="853"/>
      <c r="H204" s="559"/>
      <c r="I204" s="559"/>
      <c r="J204" s="559"/>
      <c r="K204" s="559"/>
      <c r="L204" s="559"/>
      <c r="M204" s="559"/>
      <c r="N204" s="559"/>
      <c r="O204" s="559"/>
      <c r="P204" s="559"/>
      <c r="Q204" s="559"/>
      <c r="R204" s="559"/>
      <c r="S204" s="559"/>
    </row>
    <row r="205" spans="1:19">
      <c r="A205" s="559"/>
      <c r="B205" s="560" t="s">
        <v>1209</v>
      </c>
      <c r="C205" s="559"/>
      <c r="D205" s="559"/>
      <c r="E205" s="559"/>
      <c r="F205" s="853">
        <f>F198-F200-F202</f>
        <v>-175932712.5</v>
      </c>
      <c r="G205" s="853"/>
      <c r="H205" s="559"/>
      <c r="I205" s="559"/>
      <c r="J205" s="559"/>
      <c r="K205" s="559"/>
      <c r="L205" s="559"/>
      <c r="M205" s="559"/>
      <c r="N205" s="559"/>
      <c r="O205" s="559"/>
      <c r="P205" s="559"/>
      <c r="Q205" s="559"/>
      <c r="R205" s="559"/>
      <c r="S205" s="559"/>
    </row>
    <row r="206" spans="1:19">
      <c r="A206" s="559"/>
      <c r="B206" s="559"/>
      <c r="C206" s="559"/>
      <c r="D206" s="559"/>
      <c r="E206" s="559"/>
      <c r="F206" s="559"/>
      <c r="G206" s="559"/>
      <c r="H206" s="559"/>
      <c r="I206" s="559"/>
      <c r="J206" s="559"/>
      <c r="K206" s="559"/>
      <c r="L206" s="559"/>
      <c r="M206" s="559"/>
      <c r="N206" s="559"/>
      <c r="O206" s="559"/>
      <c r="P206" s="559"/>
      <c r="Q206" s="559"/>
      <c r="R206" s="559"/>
      <c r="S206" s="559"/>
    </row>
    <row r="207" spans="1:19">
      <c r="A207" s="559"/>
      <c r="B207" s="559"/>
      <c r="C207" s="559"/>
      <c r="D207" s="559"/>
      <c r="E207" s="559"/>
      <c r="F207" s="559"/>
      <c r="G207" s="559"/>
      <c r="H207" s="559"/>
      <c r="I207" s="559"/>
      <c r="J207" s="559"/>
      <c r="K207" s="559"/>
      <c r="L207" s="559"/>
      <c r="M207" s="559"/>
      <c r="N207" s="559"/>
      <c r="O207" s="559"/>
      <c r="P207" s="559"/>
      <c r="Q207" s="559"/>
      <c r="R207" s="559"/>
      <c r="S207" s="559"/>
    </row>
    <row r="208" spans="1:19" s="534" customFormat="1" ht="14.25">
      <c r="A208" s="560"/>
      <c r="B208" s="560" t="s">
        <v>1204</v>
      </c>
      <c r="C208" s="743">
        <v>544481.5</v>
      </c>
      <c r="D208" s="560" t="s">
        <v>1205</v>
      </c>
      <c r="E208" s="560"/>
      <c r="F208" s="560"/>
      <c r="G208" s="560"/>
      <c r="H208" s="560"/>
      <c r="I208" s="560"/>
      <c r="J208" s="560"/>
      <c r="K208" s="560"/>
      <c r="L208" s="560"/>
      <c r="M208" s="560"/>
      <c r="N208" s="560"/>
      <c r="O208" s="560"/>
      <c r="P208" s="560"/>
      <c r="Q208" s="560"/>
      <c r="R208" s="560"/>
      <c r="S208" s="560"/>
    </row>
    <row r="209" spans="1:19">
      <c r="A209" s="559"/>
      <c r="B209" s="559"/>
      <c r="C209" s="559"/>
      <c r="D209" s="559"/>
      <c r="E209" s="559"/>
      <c r="F209" s="559"/>
      <c r="G209" s="559"/>
      <c r="H209" s="559"/>
      <c r="I209" s="559"/>
      <c r="J209" s="559"/>
      <c r="K209" s="559"/>
      <c r="L209" s="559"/>
      <c r="M209" s="559"/>
      <c r="N209" s="559"/>
      <c r="O209" s="559"/>
      <c r="P209" s="559"/>
      <c r="Q209" s="559"/>
      <c r="R209" s="559"/>
      <c r="S209" s="559"/>
    </row>
    <row r="210" spans="1:19">
      <c r="A210" s="559"/>
      <c r="B210" s="559"/>
      <c r="C210" s="559"/>
      <c r="D210" s="559"/>
      <c r="E210" s="559"/>
      <c r="F210" s="559"/>
      <c r="G210" s="559"/>
      <c r="H210" s="559"/>
      <c r="I210" s="559"/>
      <c r="J210" s="559"/>
      <c r="K210" s="559"/>
      <c r="L210" s="559"/>
      <c r="M210" s="559"/>
      <c r="N210" s="559"/>
      <c r="O210" s="559"/>
      <c r="P210" s="559"/>
      <c r="Q210" s="559"/>
      <c r="R210" s="559"/>
      <c r="S210" s="559"/>
    </row>
    <row r="211" spans="1:19">
      <c r="A211" s="352" t="s">
        <v>1266</v>
      </c>
      <c r="B211" s="559"/>
      <c r="C211" s="559"/>
      <c r="D211" s="559"/>
      <c r="E211" s="559"/>
      <c r="F211" s="559"/>
      <c r="G211" s="559"/>
      <c r="H211" s="559"/>
      <c r="J211" s="352" t="s">
        <v>1277</v>
      </c>
      <c r="K211" s="353"/>
      <c r="L211" s="354"/>
      <c r="M211" s="353"/>
      <c r="N211" s="353"/>
      <c r="O211" s="353"/>
      <c r="P211" s="353"/>
      <c r="Q211" s="353"/>
      <c r="R211" s="353"/>
      <c r="S211" s="559"/>
    </row>
    <row r="212" spans="1:19">
      <c r="A212" s="803" t="s">
        <v>0</v>
      </c>
      <c r="B212" s="803" t="s">
        <v>21</v>
      </c>
      <c r="C212" s="855" t="s">
        <v>50</v>
      </c>
      <c r="D212" s="815" t="s">
        <v>51</v>
      </c>
      <c r="E212" s="815" t="s">
        <v>9</v>
      </c>
      <c r="F212" s="815" t="s">
        <v>117</v>
      </c>
      <c r="G212" s="815" t="s">
        <v>52</v>
      </c>
      <c r="H212" s="559"/>
      <c r="I212" s="803" t="s">
        <v>0</v>
      </c>
      <c r="J212" s="803" t="s">
        <v>30</v>
      </c>
      <c r="K212" s="803" t="s">
        <v>31</v>
      </c>
      <c r="L212" s="803" t="s">
        <v>103</v>
      </c>
      <c r="M212" s="803" t="s">
        <v>32</v>
      </c>
      <c r="N212" s="805" t="s">
        <v>83</v>
      </c>
      <c r="O212" s="806"/>
      <c r="P212" s="813" t="s">
        <v>33</v>
      </c>
      <c r="Q212" s="815" t="s">
        <v>106</v>
      </c>
      <c r="R212" s="815" t="s">
        <v>9</v>
      </c>
      <c r="S212" s="559"/>
    </row>
    <row r="213" spans="1:19">
      <c r="A213" s="803"/>
      <c r="B213" s="803"/>
      <c r="C213" s="855"/>
      <c r="D213" s="815"/>
      <c r="E213" s="815"/>
      <c r="F213" s="815"/>
      <c r="G213" s="815"/>
      <c r="H213" s="559"/>
      <c r="I213" s="803"/>
      <c r="J213" s="803"/>
      <c r="K213" s="803"/>
      <c r="L213" s="803"/>
      <c r="M213" s="803"/>
      <c r="N213" s="807"/>
      <c r="O213" s="808"/>
      <c r="P213" s="814"/>
      <c r="Q213" s="815"/>
      <c r="R213" s="815"/>
      <c r="S213" s="559"/>
    </row>
    <row r="214" spans="1:19">
      <c r="A214" s="710">
        <v>1</v>
      </c>
      <c r="B214" s="264" t="s">
        <v>1232</v>
      </c>
      <c r="C214" s="510">
        <v>306124</v>
      </c>
      <c r="D214" s="511">
        <v>22685</v>
      </c>
      <c r="E214" s="511">
        <f>C214*D214</f>
        <v>6944422940</v>
      </c>
      <c r="F214" s="512"/>
      <c r="G214" s="511"/>
      <c r="H214" s="559"/>
      <c r="I214" s="489">
        <v>1</v>
      </c>
      <c r="J214" s="355">
        <v>43158</v>
      </c>
      <c r="K214" s="355">
        <v>43161</v>
      </c>
      <c r="L214" s="793" t="s">
        <v>838</v>
      </c>
      <c r="M214" s="794">
        <f t="shared" ref="M214:M215" si="34">IF(K214&lt;&gt;"",K214-J214+1,"")</f>
        <v>4</v>
      </c>
      <c r="N214" s="794">
        <v>2030</v>
      </c>
      <c r="O214" s="794">
        <f t="shared" ref="O214:O215" si="35">IF(K214&lt;&gt;"",N214,0)</f>
        <v>2030</v>
      </c>
      <c r="P214" s="795">
        <f t="shared" ref="P214:P215" si="36">N214*13</f>
        <v>26390</v>
      </c>
      <c r="Q214" s="357">
        <f>IF(OR(M214="",M214=1),0,20000)</f>
        <v>20000</v>
      </c>
      <c r="R214" s="357">
        <f t="shared" ref="R214:R215" si="37">IF(M214&lt;&gt;"",Q214*P214*M214/1000,"")</f>
        <v>2111200</v>
      </c>
      <c r="S214" s="559"/>
    </row>
    <row r="215" spans="1:19">
      <c r="A215" s="710">
        <v>2</v>
      </c>
      <c r="B215" s="264" t="s">
        <v>1233</v>
      </c>
      <c r="C215" s="510">
        <v>153062</v>
      </c>
      <c r="D215" s="511"/>
      <c r="E215" s="511">
        <f>C215*D214</f>
        <v>3472211470</v>
      </c>
      <c r="F215" s="512"/>
      <c r="G215" s="511"/>
      <c r="H215" s="559"/>
      <c r="I215" s="489">
        <v>2</v>
      </c>
      <c r="J215" s="355">
        <v>43161</v>
      </c>
      <c r="K215" s="355">
        <v>43162</v>
      </c>
      <c r="L215" s="793" t="s">
        <v>1282</v>
      </c>
      <c r="M215" s="794">
        <f t="shared" si="34"/>
        <v>2</v>
      </c>
      <c r="N215" s="794">
        <v>2030</v>
      </c>
      <c r="O215" s="794">
        <f t="shared" si="35"/>
        <v>2030</v>
      </c>
      <c r="P215" s="795">
        <f t="shared" si="36"/>
        <v>26390</v>
      </c>
      <c r="Q215" s="357">
        <f t="shared" ref="Q215:Q219" si="38">IF(OR(M215="",M215=1),0,20000)</f>
        <v>20000</v>
      </c>
      <c r="R215" s="357">
        <f t="shared" si="37"/>
        <v>1055600</v>
      </c>
      <c r="S215" s="559"/>
    </row>
    <row r="216" spans="1:19">
      <c r="A216" s="793">
        <v>3</v>
      </c>
      <c r="B216" s="264" t="s">
        <v>1245</v>
      </c>
      <c r="C216" s="510">
        <v>237510</v>
      </c>
      <c r="D216" s="511"/>
      <c r="E216" s="511">
        <f>C216*D214</f>
        <v>5387914350</v>
      </c>
      <c r="F216" s="512"/>
      <c r="G216" s="511"/>
      <c r="H216" s="559"/>
      <c r="I216" s="489">
        <v>3</v>
      </c>
      <c r="J216" s="355">
        <v>43164</v>
      </c>
      <c r="K216" s="355">
        <v>43167</v>
      </c>
      <c r="L216" s="793" t="s">
        <v>1283</v>
      </c>
      <c r="M216" s="794">
        <f t="shared" ref="M216:M219" si="39">IF(K216&lt;&gt;"",K216-J216+1,"")</f>
        <v>4</v>
      </c>
      <c r="N216" s="794">
        <v>2030</v>
      </c>
      <c r="O216" s="794">
        <f t="shared" ref="O216:O219" si="40">IF(K216&lt;&gt;"",N216,0)</f>
        <v>2030</v>
      </c>
      <c r="P216" s="795">
        <f t="shared" ref="P216:P219" si="41">N216*13</f>
        <v>26390</v>
      </c>
      <c r="Q216" s="357">
        <f t="shared" si="38"/>
        <v>20000</v>
      </c>
      <c r="R216" s="357">
        <f t="shared" ref="R216:R219" si="42">IF(M216&lt;&gt;"",Q216*P216*M216/1000,"")</f>
        <v>2111200</v>
      </c>
      <c r="S216" s="559"/>
    </row>
    <row r="217" spans="1:19">
      <c r="A217" s="793">
        <v>4</v>
      </c>
      <c r="B217" s="253" t="s">
        <v>959</v>
      </c>
      <c r="C217" s="309"/>
      <c r="D217" s="255"/>
      <c r="E217" s="255"/>
      <c r="F217" s="254">
        <f>56.5*D214*3</f>
        <v>3845107.5</v>
      </c>
      <c r="G217" s="255"/>
      <c r="H217" s="559"/>
      <c r="I217" s="489">
        <v>4</v>
      </c>
      <c r="J217" s="355">
        <v>43168</v>
      </c>
      <c r="K217" s="355">
        <v>43179</v>
      </c>
      <c r="L217" s="793" t="s">
        <v>1284</v>
      </c>
      <c r="M217" s="794">
        <f t="shared" si="39"/>
        <v>12</v>
      </c>
      <c r="N217" s="794">
        <v>2030</v>
      </c>
      <c r="O217" s="794">
        <f t="shared" si="40"/>
        <v>2030</v>
      </c>
      <c r="P217" s="795">
        <f t="shared" si="41"/>
        <v>26390</v>
      </c>
      <c r="Q217" s="357">
        <f t="shared" si="38"/>
        <v>20000</v>
      </c>
      <c r="R217" s="357">
        <f t="shared" si="42"/>
        <v>6333600</v>
      </c>
      <c r="S217" s="559"/>
    </row>
    <row r="218" spans="1:19">
      <c r="A218" s="793">
        <v>5</v>
      </c>
      <c r="B218" s="264" t="s">
        <v>1272</v>
      </c>
      <c r="C218" s="510">
        <v>469503</v>
      </c>
      <c r="D218" s="511"/>
      <c r="E218" s="511">
        <f>C218*D214</f>
        <v>10650675555</v>
      </c>
      <c r="F218" s="512"/>
      <c r="G218" s="511"/>
      <c r="H218" s="559"/>
      <c r="I218" s="489">
        <v>5</v>
      </c>
      <c r="J218" s="355">
        <v>43169</v>
      </c>
      <c r="K218" s="355">
        <v>43180</v>
      </c>
      <c r="L218" s="793" t="s">
        <v>1285</v>
      </c>
      <c r="M218" s="794">
        <f t="shared" si="39"/>
        <v>12</v>
      </c>
      <c r="N218" s="794">
        <v>2030</v>
      </c>
      <c r="O218" s="794">
        <f t="shared" si="40"/>
        <v>2030</v>
      </c>
      <c r="P218" s="795">
        <f t="shared" si="41"/>
        <v>26390</v>
      </c>
      <c r="Q218" s="357">
        <f t="shared" si="38"/>
        <v>20000</v>
      </c>
      <c r="R218" s="357">
        <f t="shared" si="42"/>
        <v>6333600</v>
      </c>
      <c r="S218" s="559"/>
    </row>
    <row r="219" spans="1:19">
      <c r="A219" s="793">
        <v>6</v>
      </c>
      <c r="B219" s="253" t="s">
        <v>1254</v>
      </c>
      <c r="C219" s="309"/>
      <c r="D219" s="255"/>
      <c r="E219" s="255"/>
      <c r="F219" s="254">
        <f>-F205</f>
        <v>175932712.5</v>
      </c>
      <c r="G219" s="255"/>
      <c r="H219" s="559"/>
      <c r="I219" s="489">
        <v>6</v>
      </c>
      <c r="J219" s="355">
        <v>43171</v>
      </c>
      <c r="K219" s="355"/>
      <c r="L219" s="793" t="s">
        <v>1286</v>
      </c>
      <c r="M219" s="794" t="str">
        <f t="shared" si="39"/>
        <v/>
      </c>
      <c r="N219" s="794">
        <v>262</v>
      </c>
      <c r="O219" s="794">
        <f t="shared" si="40"/>
        <v>0</v>
      </c>
      <c r="P219" s="795">
        <f t="shared" si="41"/>
        <v>3406</v>
      </c>
      <c r="Q219" s="357">
        <f t="shared" si="38"/>
        <v>0</v>
      </c>
      <c r="R219" s="357" t="str">
        <f t="shared" si="42"/>
        <v/>
      </c>
      <c r="S219" s="559"/>
    </row>
    <row r="220" spans="1:19">
      <c r="A220" s="793">
        <v>7</v>
      </c>
      <c r="B220" s="253" t="s">
        <v>1276</v>
      </c>
      <c r="C220" s="263"/>
      <c r="D220" s="258"/>
      <c r="E220" s="258"/>
      <c r="F220" s="254">
        <f>43000000*20</f>
        <v>860000000</v>
      </c>
      <c r="G220" s="255"/>
      <c r="H220" s="559"/>
      <c r="I220" s="489"/>
      <c r="J220" s="355"/>
      <c r="K220" s="355"/>
      <c r="L220" s="793"/>
      <c r="M220" s="794"/>
      <c r="N220" s="794"/>
      <c r="O220" s="794"/>
      <c r="P220" s="795"/>
      <c r="Q220" s="357"/>
      <c r="R220" s="357"/>
      <c r="S220" s="559"/>
    </row>
    <row r="221" spans="1:19">
      <c r="A221" s="793">
        <v>8</v>
      </c>
      <c r="B221" s="253" t="s">
        <v>1280</v>
      </c>
      <c r="C221" s="263"/>
      <c r="D221" s="258"/>
      <c r="E221" s="258"/>
      <c r="F221" s="254">
        <f>R221</f>
        <v>17945200</v>
      </c>
      <c r="G221" s="255"/>
      <c r="H221" s="559"/>
      <c r="I221" s="414"/>
      <c r="J221" s="414"/>
      <c r="K221" s="414"/>
      <c r="L221" s="414" t="s">
        <v>19</v>
      </c>
      <c r="M221" s="414"/>
      <c r="N221" s="415">
        <f>SUM(N214:N220)</f>
        <v>10412</v>
      </c>
      <c r="O221" s="415">
        <f>SUM(O214:O220)</f>
        <v>10150</v>
      </c>
      <c r="P221" s="415">
        <f>SUM(P214:P220)</f>
        <v>135356</v>
      </c>
      <c r="Q221" s="415"/>
      <c r="R221" s="415">
        <f>SUM(R214:R220)</f>
        <v>17945200</v>
      </c>
      <c r="S221" s="559"/>
    </row>
    <row r="222" spans="1:19">
      <c r="A222" s="793">
        <v>9</v>
      </c>
      <c r="B222" s="253" t="s">
        <v>1288</v>
      </c>
      <c r="C222" s="263"/>
      <c r="D222" s="258"/>
      <c r="E222" s="258"/>
      <c r="F222" s="254">
        <f>P221/1000*2*15000</f>
        <v>4060680</v>
      </c>
      <c r="G222" s="255"/>
      <c r="H222" s="559"/>
      <c r="L222" s="352" t="s">
        <v>845</v>
      </c>
      <c r="M222" s="860">
        <f>N221-O221</f>
        <v>262</v>
      </c>
      <c r="N222" s="860"/>
      <c r="O222" s="860"/>
      <c r="S222" s="559"/>
    </row>
    <row r="223" spans="1:19">
      <c r="A223" s="798">
        <v>8</v>
      </c>
      <c r="B223" s="253" t="s">
        <v>1290</v>
      </c>
      <c r="C223" s="263"/>
      <c r="D223" s="258"/>
      <c r="E223" s="258"/>
      <c r="F223" s="254">
        <f>5*7000000</f>
        <v>35000000</v>
      </c>
      <c r="G223" s="255"/>
      <c r="H223" s="559"/>
      <c r="I223" s="559"/>
      <c r="J223" s="559"/>
      <c r="K223" s="559"/>
      <c r="L223" s="559"/>
      <c r="M223" s="559"/>
      <c r="N223" s="559"/>
      <c r="O223" s="559"/>
      <c r="P223" s="559"/>
      <c r="Q223" s="559"/>
      <c r="R223" s="559"/>
      <c r="S223" s="559"/>
    </row>
    <row r="224" spans="1:19">
      <c r="A224" s="793">
        <v>8</v>
      </c>
      <c r="B224" s="253" t="s">
        <v>1281</v>
      </c>
      <c r="C224" s="263"/>
      <c r="D224" s="258"/>
      <c r="E224" s="258"/>
      <c r="F224" s="254">
        <f>R243</f>
        <v>49181600</v>
      </c>
      <c r="G224" s="255"/>
      <c r="H224" s="559"/>
      <c r="I224" s="559"/>
      <c r="J224" s="559"/>
      <c r="K224" s="559"/>
      <c r="L224" s="559"/>
      <c r="M224" s="559"/>
      <c r="N224" s="559"/>
      <c r="O224" s="559"/>
      <c r="P224" s="559"/>
      <c r="Q224" s="559"/>
      <c r="R224" s="559"/>
      <c r="S224" s="559"/>
    </row>
    <row r="225" spans="1:19">
      <c r="A225" s="793">
        <v>9</v>
      </c>
      <c r="B225" s="253" t="s">
        <v>1289</v>
      </c>
      <c r="C225" s="263"/>
      <c r="D225" s="258"/>
      <c r="E225" s="258"/>
      <c r="F225" s="254">
        <f>P243/1000*2*15000</f>
        <v>9321000</v>
      </c>
      <c r="G225" s="255"/>
      <c r="H225" s="559"/>
      <c r="J225" s="352" t="s">
        <v>1287</v>
      </c>
      <c r="K225" s="353"/>
      <c r="L225" s="354"/>
      <c r="M225" s="353"/>
      <c r="N225" s="353"/>
      <c r="O225" s="353"/>
      <c r="P225" s="353"/>
      <c r="Q225" s="353"/>
      <c r="R225" s="353"/>
      <c r="S225" s="559"/>
    </row>
    <row r="226" spans="1:19">
      <c r="A226" s="793">
        <v>10</v>
      </c>
      <c r="B226" s="253" t="s">
        <v>1255</v>
      </c>
      <c r="C226" s="309"/>
      <c r="D226" s="255"/>
      <c r="E226" s="255"/>
      <c r="F226" s="254">
        <f>2030*13*49500</f>
        <v>1306305000</v>
      </c>
      <c r="G226" s="255"/>
      <c r="H226" s="559"/>
      <c r="I226" s="803" t="s">
        <v>0</v>
      </c>
      <c r="J226" s="803" t="s">
        <v>30</v>
      </c>
      <c r="K226" s="803" t="s">
        <v>31</v>
      </c>
      <c r="L226" s="803" t="s">
        <v>103</v>
      </c>
      <c r="M226" s="803" t="s">
        <v>32</v>
      </c>
      <c r="N226" s="805" t="s">
        <v>83</v>
      </c>
      <c r="O226" s="806"/>
      <c r="P226" s="813" t="s">
        <v>33</v>
      </c>
      <c r="Q226" s="815" t="s">
        <v>106</v>
      </c>
      <c r="R226" s="815" t="s">
        <v>9</v>
      </c>
      <c r="S226" s="559"/>
    </row>
    <row r="227" spans="1:19">
      <c r="A227" s="793">
        <v>11</v>
      </c>
      <c r="B227" s="253" t="s">
        <v>1256</v>
      </c>
      <c r="C227" s="309"/>
      <c r="D227" s="255"/>
      <c r="E227" s="255"/>
      <c r="F227" s="254">
        <f>2030*13*49500</f>
        <v>1306305000</v>
      </c>
      <c r="G227" s="255"/>
      <c r="H227" s="559"/>
      <c r="I227" s="803"/>
      <c r="J227" s="803"/>
      <c r="K227" s="803"/>
      <c r="L227" s="803"/>
      <c r="M227" s="803"/>
      <c r="N227" s="807"/>
      <c r="O227" s="808"/>
      <c r="P227" s="814"/>
      <c r="Q227" s="815"/>
      <c r="R227" s="815"/>
      <c r="S227" s="559"/>
    </row>
    <row r="228" spans="1:19">
      <c r="A228" s="793">
        <v>12</v>
      </c>
      <c r="B228" s="253" t="s">
        <v>1257</v>
      </c>
      <c r="C228" s="309"/>
      <c r="D228" s="255"/>
      <c r="E228" s="255"/>
      <c r="F228" s="254">
        <f>10150*13*49500</f>
        <v>6531525000</v>
      </c>
      <c r="G228" s="255"/>
      <c r="H228" s="559"/>
      <c r="I228" s="489">
        <v>1</v>
      </c>
      <c r="J228" s="355">
        <v>43140</v>
      </c>
      <c r="K228" s="355">
        <v>43140</v>
      </c>
      <c r="L228" s="793"/>
      <c r="M228" s="794">
        <f t="shared" ref="M228:M232" si="43">IF(K228&lt;&gt;"",K228-J228+1,"")</f>
        <v>1</v>
      </c>
      <c r="N228" s="794">
        <v>1570</v>
      </c>
      <c r="O228" s="794">
        <f t="shared" ref="O228:O232" si="44">IF(K228&lt;&gt;"",N228,0)</f>
        <v>1570</v>
      </c>
      <c r="P228" s="795">
        <f t="shared" ref="P228:P232" si="45">N228*13</f>
        <v>20410</v>
      </c>
      <c r="Q228" s="357">
        <f>IF(OR(M228="",M228=1),0,20000)</f>
        <v>0</v>
      </c>
      <c r="R228" s="357">
        <f t="shared" ref="R228:R232" si="46">IF(M228&lt;&gt;"",Q228*P228*M228/1000,"")</f>
        <v>0</v>
      </c>
      <c r="S228" s="559"/>
    </row>
    <row r="229" spans="1:19">
      <c r="A229" s="793">
        <v>13</v>
      </c>
      <c r="B229" s="253" t="s">
        <v>1278</v>
      </c>
      <c r="C229" s="309"/>
      <c r="D229" s="255"/>
      <c r="E229" s="255"/>
      <c r="F229" s="254">
        <f>8120*13*49000</f>
        <v>5172440000</v>
      </c>
      <c r="G229" s="255"/>
      <c r="H229" s="559"/>
      <c r="I229" s="489">
        <v>2</v>
      </c>
      <c r="J229" s="355">
        <v>43155</v>
      </c>
      <c r="K229" s="355">
        <v>43161</v>
      </c>
      <c r="L229" s="793"/>
      <c r="M229" s="794">
        <f t="shared" si="43"/>
        <v>7</v>
      </c>
      <c r="N229" s="794">
        <v>2030</v>
      </c>
      <c r="O229" s="794">
        <f t="shared" si="44"/>
        <v>2030</v>
      </c>
      <c r="P229" s="795">
        <f t="shared" si="45"/>
        <v>26390</v>
      </c>
      <c r="Q229" s="357">
        <f t="shared" ref="Q229:Q232" si="47">IF(OR(M229="",M229=1),0,20000)</f>
        <v>20000</v>
      </c>
      <c r="R229" s="357">
        <f t="shared" si="46"/>
        <v>3694600</v>
      </c>
      <c r="S229" s="559"/>
    </row>
    <row r="230" spans="1:19">
      <c r="A230" s="793">
        <v>14</v>
      </c>
      <c r="B230" s="253" t="s">
        <v>1270</v>
      </c>
      <c r="C230" s="309"/>
      <c r="D230" s="255"/>
      <c r="E230" s="255"/>
      <c r="F230" s="254">
        <f>1550*15*72000</f>
        <v>1674000000</v>
      </c>
      <c r="G230" s="255"/>
      <c r="H230" s="559"/>
      <c r="I230" s="489">
        <v>3</v>
      </c>
      <c r="J230" s="355">
        <v>43155</v>
      </c>
      <c r="K230" s="355">
        <v>43162</v>
      </c>
      <c r="L230" s="793"/>
      <c r="M230" s="794">
        <f t="shared" si="43"/>
        <v>8</v>
      </c>
      <c r="N230" s="794">
        <v>2030</v>
      </c>
      <c r="O230" s="794">
        <f t="shared" si="44"/>
        <v>2030</v>
      </c>
      <c r="P230" s="795">
        <f t="shared" si="45"/>
        <v>26390</v>
      </c>
      <c r="Q230" s="357">
        <f t="shared" si="47"/>
        <v>20000</v>
      </c>
      <c r="R230" s="357">
        <f t="shared" si="46"/>
        <v>4222400</v>
      </c>
      <c r="S230" s="559"/>
    </row>
    <row r="231" spans="1:19">
      <c r="A231" s="793">
        <v>15</v>
      </c>
      <c r="B231" s="253" t="s">
        <v>1271</v>
      </c>
      <c r="C231" s="309"/>
      <c r="D231" s="255"/>
      <c r="E231" s="255"/>
      <c r="F231" s="254">
        <f>1600*15*56000</f>
        <v>1344000000</v>
      </c>
      <c r="G231" s="255"/>
      <c r="H231" s="559"/>
      <c r="I231" s="489">
        <v>4</v>
      </c>
      <c r="J231" s="355">
        <v>43156</v>
      </c>
      <c r="K231" s="355">
        <v>43167</v>
      </c>
      <c r="L231" s="793"/>
      <c r="M231" s="794">
        <f t="shared" si="43"/>
        <v>12</v>
      </c>
      <c r="N231" s="794">
        <v>2020</v>
      </c>
      <c r="O231" s="794">
        <f t="shared" si="44"/>
        <v>2020</v>
      </c>
      <c r="P231" s="795">
        <f t="shared" si="45"/>
        <v>26260</v>
      </c>
      <c r="Q231" s="357">
        <f t="shared" si="47"/>
        <v>20000</v>
      </c>
      <c r="R231" s="357">
        <f t="shared" si="46"/>
        <v>6302400</v>
      </c>
      <c r="S231" s="559"/>
    </row>
    <row r="232" spans="1:19">
      <c r="A232" s="793">
        <v>16</v>
      </c>
      <c r="B232" s="253" t="s">
        <v>1279</v>
      </c>
      <c r="C232" s="309"/>
      <c r="D232" s="255"/>
      <c r="E232" s="255"/>
      <c r="F232" s="254">
        <f>4060*13*49000</f>
        <v>2586220000</v>
      </c>
      <c r="G232" s="255"/>
      <c r="H232" s="559"/>
      <c r="I232" s="489">
        <v>5</v>
      </c>
      <c r="J232" s="355">
        <v>43156</v>
      </c>
      <c r="K232" s="355">
        <v>43167</v>
      </c>
      <c r="L232" s="793"/>
      <c r="M232" s="794">
        <f t="shared" si="43"/>
        <v>12</v>
      </c>
      <c r="N232" s="794">
        <v>2030</v>
      </c>
      <c r="O232" s="794">
        <f t="shared" si="44"/>
        <v>2030</v>
      </c>
      <c r="P232" s="795">
        <f t="shared" si="45"/>
        <v>26390</v>
      </c>
      <c r="Q232" s="357">
        <f t="shared" si="47"/>
        <v>20000</v>
      </c>
      <c r="R232" s="357">
        <f t="shared" si="46"/>
        <v>6333600</v>
      </c>
      <c r="S232" s="559"/>
    </row>
    <row r="233" spans="1:19">
      <c r="A233" s="793">
        <v>17</v>
      </c>
      <c r="B233" s="253" t="s">
        <v>1258</v>
      </c>
      <c r="C233" s="309"/>
      <c r="D233" s="255"/>
      <c r="E233" s="255"/>
      <c r="F233" s="254">
        <v>1100000</v>
      </c>
      <c r="G233" s="255">
        <v>1253000000</v>
      </c>
      <c r="H233" s="559"/>
      <c r="I233" s="489">
        <v>6</v>
      </c>
      <c r="J233" s="355">
        <v>43157</v>
      </c>
      <c r="K233" s="355">
        <v>43167</v>
      </c>
      <c r="L233" s="793"/>
      <c r="M233" s="794">
        <f t="shared" ref="M233:M241" si="48">IF(K233&lt;&gt;"",K233-J233+1,"")</f>
        <v>11</v>
      </c>
      <c r="N233" s="794">
        <v>2040</v>
      </c>
      <c r="O233" s="794">
        <f t="shared" ref="O233:O241" si="49">IF(K233&lt;&gt;"",N233,0)</f>
        <v>2040</v>
      </c>
      <c r="P233" s="795">
        <f t="shared" ref="P233:P241" si="50">N233*13</f>
        <v>26520</v>
      </c>
      <c r="Q233" s="357">
        <f t="shared" ref="Q233:Q241" si="51">IF(OR(M233="",M233=1),0,20000)</f>
        <v>20000</v>
      </c>
      <c r="R233" s="357">
        <f t="shared" ref="R233:R241" si="52">IF(M233&lt;&gt;"",Q233*P233*M233/1000,"")</f>
        <v>5834400</v>
      </c>
      <c r="S233" s="559"/>
    </row>
    <row r="234" spans="1:19">
      <c r="A234" s="793">
        <v>18</v>
      </c>
      <c r="B234" s="253" t="s">
        <v>1261</v>
      </c>
      <c r="C234" s="309"/>
      <c r="D234" s="255"/>
      <c r="E234" s="255"/>
      <c r="F234" s="254">
        <v>1100000</v>
      </c>
      <c r="G234" s="255">
        <v>1253000000</v>
      </c>
      <c r="H234" s="559"/>
      <c r="I234" s="489">
        <v>7</v>
      </c>
      <c r="J234" s="355">
        <v>43157</v>
      </c>
      <c r="K234" s="355">
        <v>43181</v>
      </c>
      <c r="L234" s="793"/>
      <c r="M234" s="794">
        <f t="shared" si="48"/>
        <v>25</v>
      </c>
      <c r="N234" s="794">
        <v>1100</v>
      </c>
      <c r="O234" s="794">
        <f t="shared" si="49"/>
        <v>1100</v>
      </c>
      <c r="P234" s="795">
        <f t="shared" si="50"/>
        <v>14300</v>
      </c>
      <c r="Q234" s="357">
        <f t="shared" si="51"/>
        <v>20000</v>
      </c>
      <c r="R234" s="357">
        <f t="shared" si="52"/>
        <v>7150000</v>
      </c>
      <c r="S234" s="559"/>
    </row>
    <row r="235" spans="1:19">
      <c r="A235" s="793">
        <v>19</v>
      </c>
      <c r="B235" s="256" t="s">
        <v>1259</v>
      </c>
      <c r="C235" s="310"/>
      <c r="D235" s="255"/>
      <c r="E235" s="255"/>
      <c r="F235" s="254">
        <v>550000</v>
      </c>
      <c r="G235" s="255">
        <v>754000000</v>
      </c>
      <c r="H235" s="559"/>
      <c r="I235" s="489">
        <v>8</v>
      </c>
      <c r="J235" s="355">
        <v>43168</v>
      </c>
      <c r="K235" s="355">
        <v>43172</v>
      </c>
      <c r="L235" s="793"/>
      <c r="M235" s="794">
        <f t="shared" si="48"/>
        <v>5</v>
      </c>
      <c r="N235" s="794">
        <v>2030</v>
      </c>
      <c r="O235" s="794">
        <f t="shared" si="49"/>
        <v>2030</v>
      </c>
      <c r="P235" s="795">
        <f t="shared" si="50"/>
        <v>26390</v>
      </c>
      <c r="Q235" s="357">
        <f t="shared" si="51"/>
        <v>20000</v>
      </c>
      <c r="R235" s="357">
        <f t="shared" si="52"/>
        <v>2639000</v>
      </c>
      <c r="S235" s="559"/>
    </row>
    <row r="236" spans="1:19">
      <c r="A236" s="793">
        <v>20</v>
      </c>
      <c r="B236" s="256" t="s">
        <v>1260</v>
      </c>
      <c r="C236" s="310"/>
      <c r="D236" s="255"/>
      <c r="E236" s="255"/>
      <c r="F236" s="254">
        <v>550000</v>
      </c>
      <c r="G236" s="255">
        <v>512000000</v>
      </c>
      <c r="H236" s="559"/>
      <c r="I236" s="489">
        <v>9</v>
      </c>
      <c r="J236" s="355">
        <v>43169</v>
      </c>
      <c r="K236" s="355">
        <v>43172</v>
      </c>
      <c r="L236" s="793"/>
      <c r="M236" s="794">
        <f t="shared" si="48"/>
        <v>4</v>
      </c>
      <c r="N236" s="794">
        <v>2030</v>
      </c>
      <c r="O236" s="794">
        <f t="shared" si="49"/>
        <v>2030</v>
      </c>
      <c r="P236" s="795">
        <f t="shared" si="50"/>
        <v>26390</v>
      </c>
      <c r="Q236" s="357">
        <f t="shared" si="51"/>
        <v>20000</v>
      </c>
      <c r="R236" s="357">
        <f t="shared" si="52"/>
        <v>2111200</v>
      </c>
      <c r="S236" s="559"/>
    </row>
    <row r="237" spans="1:19">
      <c r="A237" s="793">
        <v>21</v>
      </c>
      <c r="B237" s="256" t="s">
        <v>1273</v>
      </c>
      <c r="C237" s="310"/>
      <c r="D237" s="255"/>
      <c r="E237" s="255"/>
      <c r="F237" s="254">
        <v>550000</v>
      </c>
      <c r="G237" s="255">
        <v>976000000</v>
      </c>
      <c r="H237" s="559"/>
      <c r="I237" s="489">
        <v>10</v>
      </c>
      <c r="J237" s="355">
        <v>43170</v>
      </c>
      <c r="K237" s="355">
        <v>43173</v>
      </c>
      <c r="L237" s="793"/>
      <c r="M237" s="794">
        <f t="shared" si="48"/>
        <v>4</v>
      </c>
      <c r="N237" s="794">
        <v>2030</v>
      </c>
      <c r="O237" s="794">
        <f t="shared" si="49"/>
        <v>2030</v>
      </c>
      <c r="P237" s="795">
        <f t="shared" si="50"/>
        <v>26390</v>
      </c>
      <c r="Q237" s="357">
        <f t="shared" si="51"/>
        <v>20000</v>
      </c>
      <c r="R237" s="357">
        <f t="shared" si="52"/>
        <v>2111200</v>
      </c>
      <c r="S237" s="559"/>
    </row>
    <row r="238" spans="1:19">
      <c r="A238" s="710"/>
      <c r="B238" s="256"/>
      <c r="C238" s="310"/>
      <c r="D238" s="255"/>
      <c r="E238" s="255"/>
      <c r="F238" s="254"/>
      <c r="G238" s="255"/>
      <c r="H238" s="559"/>
      <c r="I238" s="489">
        <v>11</v>
      </c>
      <c r="J238" s="355">
        <v>43170</v>
      </c>
      <c r="K238" s="355">
        <v>43173</v>
      </c>
      <c r="L238" s="793"/>
      <c r="M238" s="794">
        <f t="shared" si="48"/>
        <v>4</v>
      </c>
      <c r="N238" s="794">
        <v>2030</v>
      </c>
      <c r="O238" s="794">
        <f t="shared" si="49"/>
        <v>2030</v>
      </c>
      <c r="P238" s="795">
        <f t="shared" si="50"/>
        <v>26390</v>
      </c>
      <c r="Q238" s="357">
        <f t="shared" si="51"/>
        <v>20000</v>
      </c>
      <c r="R238" s="357">
        <f t="shared" si="52"/>
        <v>2111200</v>
      </c>
      <c r="S238" s="559"/>
    </row>
    <row r="239" spans="1:19">
      <c r="A239" s="376"/>
      <c r="B239" s="376" t="s">
        <v>57</v>
      </c>
      <c r="C239" s="262">
        <f>SUM(C214:C238)</f>
        <v>1166199</v>
      </c>
      <c r="D239" s="262"/>
      <c r="E239" s="261">
        <f>SUM(E214:E238)</f>
        <v>26455224315</v>
      </c>
      <c r="F239" s="261">
        <f>SUM(F214:F238)</f>
        <v>21079931300</v>
      </c>
      <c r="G239" s="261">
        <f>SUM(G214:G238)</f>
        <v>4748000000</v>
      </c>
      <c r="H239" s="559"/>
      <c r="I239" s="489">
        <v>12</v>
      </c>
      <c r="J239" s="355">
        <v>43171</v>
      </c>
      <c r="K239" s="355">
        <v>43180</v>
      </c>
      <c r="L239" s="793"/>
      <c r="M239" s="794">
        <f t="shared" si="48"/>
        <v>10</v>
      </c>
      <c r="N239" s="794">
        <v>2030</v>
      </c>
      <c r="O239" s="794">
        <f t="shared" si="49"/>
        <v>2030</v>
      </c>
      <c r="P239" s="795">
        <f t="shared" si="50"/>
        <v>26390</v>
      </c>
      <c r="Q239" s="357">
        <f t="shared" si="51"/>
        <v>20000</v>
      </c>
      <c r="R239" s="357">
        <f t="shared" si="52"/>
        <v>5278000</v>
      </c>
      <c r="S239" s="559"/>
    </row>
    <row r="240" spans="1:19">
      <c r="A240" s="534"/>
      <c r="B240" s="534"/>
      <c r="C240" s="535"/>
      <c r="D240" s="536"/>
      <c r="E240" s="536"/>
      <c r="F240" s="534"/>
      <c r="G240" s="581"/>
      <c r="H240" s="559"/>
      <c r="I240" s="489">
        <v>13</v>
      </c>
      <c r="J240" s="355">
        <v>43173</v>
      </c>
      <c r="K240" s="355">
        <v>43181</v>
      </c>
      <c r="L240" s="793"/>
      <c r="M240" s="794">
        <f t="shared" si="48"/>
        <v>9</v>
      </c>
      <c r="N240" s="794">
        <v>500</v>
      </c>
      <c r="O240" s="794">
        <f t="shared" si="49"/>
        <v>500</v>
      </c>
      <c r="P240" s="795">
        <f t="shared" si="50"/>
        <v>6500</v>
      </c>
      <c r="Q240" s="357">
        <f t="shared" si="51"/>
        <v>20000</v>
      </c>
      <c r="R240" s="357">
        <f t="shared" si="52"/>
        <v>1170000</v>
      </c>
      <c r="S240" s="559"/>
    </row>
    <row r="241" spans="1:19">
      <c r="A241" s="534"/>
      <c r="B241" s="582"/>
      <c r="C241" s="535"/>
      <c r="D241" s="536"/>
      <c r="E241" s="536"/>
      <c r="F241" s="534"/>
      <c r="G241" s="581"/>
      <c r="H241" s="559"/>
      <c r="I241" s="489">
        <v>14</v>
      </c>
      <c r="J241" s="355">
        <v>43180</v>
      </c>
      <c r="K241" s="355">
        <v>43181</v>
      </c>
      <c r="L241" s="793"/>
      <c r="M241" s="794">
        <f t="shared" si="48"/>
        <v>2</v>
      </c>
      <c r="N241" s="794">
        <v>430</v>
      </c>
      <c r="O241" s="794">
        <f t="shared" si="49"/>
        <v>430</v>
      </c>
      <c r="P241" s="795">
        <f t="shared" si="50"/>
        <v>5590</v>
      </c>
      <c r="Q241" s="357">
        <f t="shared" si="51"/>
        <v>20000</v>
      </c>
      <c r="R241" s="357">
        <f t="shared" si="52"/>
        <v>223600</v>
      </c>
      <c r="S241" s="559"/>
    </row>
    <row r="242" spans="1:19">
      <c r="A242" s="534"/>
      <c r="B242" s="534" t="s">
        <v>929</v>
      </c>
      <c r="C242" s="535">
        <f>C239</f>
        <v>1166199</v>
      </c>
      <c r="D242" s="536"/>
      <c r="E242" s="536"/>
      <c r="F242" s="853">
        <f>E239</f>
        <v>26455224315</v>
      </c>
      <c r="G242" s="853"/>
      <c r="H242" s="559"/>
      <c r="I242" s="489"/>
      <c r="J242" s="355"/>
      <c r="K242" s="355"/>
      <c r="L242" s="793"/>
      <c r="M242" s="794"/>
      <c r="N242" s="794"/>
      <c r="O242" s="794"/>
      <c r="P242" s="795"/>
      <c r="Q242" s="357"/>
      <c r="R242" s="357"/>
      <c r="S242" s="559"/>
    </row>
    <row r="243" spans="1:19">
      <c r="A243" s="534"/>
      <c r="B243" s="534"/>
      <c r="C243" s="535"/>
      <c r="D243" s="536"/>
      <c r="E243" s="536"/>
      <c r="F243" s="534"/>
      <c r="G243" s="581"/>
      <c r="H243" s="559"/>
      <c r="I243" s="414"/>
      <c r="J243" s="414"/>
      <c r="K243" s="414"/>
      <c r="L243" s="414" t="s">
        <v>19</v>
      </c>
      <c r="M243" s="414"/>
      <c r="N243" s="415">
        <f>SUM(N228:N242)</f>
        <v>23900</v>
      </c>
      <c r="O243" s="415">
        <f>SUM(O228:O242)</f>
        <v>23900</v>
      </c>
      <c r="P243" s="415">
        <f>SUM(P228:P242)</f>
        <v>310700</v>
      </c>
      <c r="Q243" s="415"/>
      <c r="R243" s="415">
        <f>SUM(R228:R242)</f>
        <v>49181600</v>
      </c>
      <c r="S243" s="559"/>
    </row>
    <row r="244" spans="1:19">
      <c r="A244" s="583"/>
      <c r="B244" s="583" t="s">
        <v>1190</v>
      </c>
      <c r="C244" s="583"/>
      <c r="D244" s="583"/>
      <c r="E244" s="583"/>
      <c r="F244" s="853">
        <f>F239</f>
        <v>21079931300</v>
      </c>
      <c r="G244" s="853"/>
      <c r="H244" s="559"/>
      <c r="L244" s="352" t="s">
        <v>845</v>
      </c>
      <c r="M244" s="860">
        <f>N243-O243</f>
        <v>0</v>
      </c>
      <c r="N244" s="860"/>
      <c r="O244" s="860"/>
      <c r="S244" s="559"/>
    </row>
    <row r="245" spans="1:19">
      <c r="A245" s="583"/>
      <c r="B245" s="583"/>
      <c r="C245" s="583"/>
      <c r="D245" s="583"/>
      <c r="E245" s="583"/>
      <c r="F245" s="583"/>
      <c r="G245" s="583"/>
      <c r="H245" s="559"/>
      <c r="I245" s="559"/>
      <c r="J245" s="559"/>
      <c r="K245" s="559"/>
      <c r="L245" s="559"/>
      <c r="M245" s="559"/>
      <c r="N245" s="559"/>
      <c r="O245" s="559"/>
      <c r="P245" s="559"/>
      <c r="Q245" s="559"/>
      <c r="R245" s="559"/>
      <c r="S245" s="559"/>
    </row>
    <row r="246" spans="1:19">
      <c r="A246" s="583"/>
      <c r="B246" s="583" t="s">
        <v>960</v>
      </c>
      <c r="C246" s="583"/>
      <c r="D246" s="583"/>
      <c r="E246" s="583"/>
      <c r="F246" s="853">
        <f>G239</f>
        <v>4748000000</v>
      </c>
      <c r="G246" s="853"/>
      <c r="H246" s="559"/>
      <c r="I246" s="559"/>
      <c r="J246" s="559"/>
      <c r="K246" s="559"/>
      <c r="L246" s="559"/>
      <c r="M246" s="559"/>
      <c r="N246" s="559"/>
      <c r="O246" s="559"/>
      <c r="P246" s="559"/>
      <c r="Q246" s="559"/>
      <c r="R246" s="559"/>
      <c r="S246" s="559"/>
    </row>
    <row r="247" spans="1:19">
      <c r="A247" s="560"/>
      <c r="B247" s="560"/>
      <c r="C247" s="560"/>
      <c r="D247" s="560"/>
      <c r="E247" s="560"/>
      <c r="F247" s="854"/>
      <c r="G247" s="854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</row>
    <row r="248" spans="1:19">
      <c r="A248" s="560"/>
      <c r="B248" s="560"/>
      <c r="C248" s="560"/>
      <c r="D248" s="560"/>
      <c r="E248" s="560"/>
      <c r="F248" s="853"/>
      <c r="G248" s="853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</row>
    <row r="249" spans="1:19">
      <c r="A249" s="559"/>
      <c r="B249" s="560" t="s">
        <v>1209</v>
      </c>
      <c r="C249" s="559"/>
      <c r="D249" s="559"/>
      <c r="E249" s="559"/>
      <c r="F249" s="853">
        <f>F242-F244-F246</f>
        <v>627293015</v>
      </c>
      <c r="G249" s="853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</row>
    <row r="250" spans="1:19" s="534" customFormat="1" ht="14.25">
      <c r="A250" s="559"/>
      <c r="B250" s="559"/>
      <c r="C250" s="559"/>
      <c r="D250" s="559"/>
      <c r="E250" s="559"/>
      <c r="F250" s="559"/>
      <c r="G250" s="559"/>
      <c r="H250" s="560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60"/>
    </row>
    <row r="251" spans="1:19">
      <c r="A251" s="559"/>
      <c r="B251" s="559"/>
      <c r="C251" s="559"/>
      <c r="D251" s="559"/>
      <c r="E251" s="559"/>
      <c r="F251" s="559"/>
      <c r="G251" s="559"/>
      <c r="H251" s="559"/>
      <c r="I251" s="559"/>
      <c r="J251" s="559"/>
      <c r="K251" s="559"/>
      <c r="L251" s="559"/>
      <c r="M251" s="559"/>
      <c r="N251" s="559"/>
      <c r="O251" s="559"/>
      <c r="P251" s="559"/>
      <c r="Q251" s="559"/>
      <c r="R251" s="559"/>
      <c r="S251" s="559"/>
    </row>
    <row r="252" spans="1:19">
      <c r="A252" s="560"/>
      <c r="B252" s="560" t="s">
        <v>1204</v>
      </c>
      <c r="C252" s="743">
        <f>'HUNAM - 2017'!N72</f>
        <v>564242</v>
      </c>
      <c r="D252" s="560" t="s">
        <v>1205</v>
      </c>
      <c r="E252" s="560"/>
      <c r="F252" s="560"/>
      <c r="G252" s="560"/>
      <c r="H252" s="559"/>
      <c r="I252" s="559"/>
      <c r="J252" s="559"/>
      <c r="K252" s="559"/>
      <c r="L252" s="559"/>
      <c r="M252" s="559"/>
      <c r="N252" s="559"/>
      <c r="O252" s="559"/>
      <c r="P252" s="559"/>
      <c r="Q252" s="559"/>
      <c r="R252" s="559"/>
      <c r="S252" s="559"/>
    </row>
    <row r="253" spans="1:19">
      <c r="A253" s="559"/>
      <c r="B253" s="559"/>
      <c r="C253" s="559"/>
      <c r="D253" s="559"/>
      <c r="E253" s="559"/>
      <c r="F253" s="559"/>
      <c r="G253" s="559"/>
      <c r="H253" s="559"/>
      <c r="I253" s="559"/>
      <c r="J253" s="559"/>
      <c r="K253" s="559"/>
      <c r="L253" s="559"/>
      <c r="M253" s="559"/>
      <c r="N253" s="559"/>
      <c r="O253" s="559"/>
      <c r="P253" s="559"/>
      <c r="Q253" s="559"/>
      <c r="R253" s="559"/>
      <c r="S253" s="559"/>
    </row>
    <row r="254" spans="1:19">
      <c r="A254" s="559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59"/>
      <c r="P254" s="559"/>
      <c r="Q254" s="559"/>
      <c r="R254" s="559"/>
      <c r="S254" s="559"/>
    </row>
    <row r="255" spans="1:19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59"/>
      <c r="P255" s="559"/>
      <c r="Q255" s="559"/>
      <c r="R255" s="559"/>
      <c r="S255" s="559"/>
    </row>
    <row r="256" spans="1:19">
      <c r="A256" s="559"/>
      <c r="B256" s="559"/>
      <c r="C256" s="559"/>
      <c r="D256" s="559"/>
      <c r="E256" s="559"/>
      <c r="F256" s="559"/>
      <c r="G256" s="559"/>
      <c r="H256" s="559"/>
      <c r="I256" s="560"/>
      <c r="J256" s="560"/>
      <c r="K256" s="560"/>
      <c r="L256" s="560"/>
      <c r="M256" s="560"/>
      <c r="N256" s="560"/>
      <c r="O256" s="560"/>
      <c r="P256" s="560"/>
      <c r="Q256" s="560"/>
      <c r="R256" s="560"/>
      <c r="S256" s="559"/>
    </row>
    <row r="257" spans="1:19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</row>
    <row r="258" spans="1:19">
      <c r="A258" s="559"/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</row>
    <row r="259" spans="1:19">
      <c r="A259" s="559"/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</row>
    <row r="260" spans="1:19">
      <c r="A260" s="559"/>
      <c r="B260" s="559"/>
      <c r="C260" s="559"/>
      <c r="D260" s="559"/>
      <c r="E260" s="559"/>
      <c r="F260" s="559"/>
      <c r="G260" s="559"/>
      <c r="H260" s="559"/>
      <c r="I260" s="559"/>
      <c r="J260" s="559"/>
      <c r="K260" s="559"/>
      <c r="L260" s="559"/>
      <c r="M260" s="559"/>
      <c r="N260" s="559"/>
      <c r="O260" s="559"/>
      <c r="P260" s="559"/>
      <c r="Q260" s="559"/>
      <c r="R260" s="559"/>
      <c r="S260" s="559"/>
    </row>
    <row r="261" spans="1:19">
      <c r="A261" s="559"/>
      <c r="B261" s="559"/>
      <c r="C261" s="559"/>
      <c r="D261" s="559"/>
      <c r="E261" s="559"/>
      <c r="F261" s="559"/>
      <c r="G261" s="559"/>
      <c r="H261" s="559"/>
      <c r="I261" s="559"/>
      <c r="J261" s="559"/>
      <c r="K261" s="559"/>
      <c r="L261" s="559"/>
      <c r="M261" s="559"/>
      <c r="N261" s="559"/>
      <c r="O261" s="559"/>
      <c r="P261" s="559"/>
      <c r="Q261" s="559"/>
      <c r="R261" s="559"/>
      <c r="S261" s="559"/>
    </row>
    <row r="262" spans="1:19">
      <c r="A262" s="559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59"/>
      <c r="P262" s="559"/>
      <c r="Q262" s="559"/>
      <c r="R262" s="559"/>
      <c r="S262" s="559"/>
    </row>
    <row r="263" spans="1:19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59"/>
      <c r="P263" s="559"/>
      <c r="Q263" s="559"/>
      <c r="R263" s="559"/>
      <c r="S263" s="559"/>
    </row>
    <row r="264" spans="1:19">
      <c r="A264" s="559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</row>
    <row r="265" spans="1:19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</row>
    <row r="266" spans="1:19">
      <c r="A266" s="559"/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</row>
    <row r="267" spans="1:19">
      <c r="A267" s="559"/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</row>
    <row r="268" spans="1:19">
      <c r="A268" s="559"/>
      <c r="B268" s="559"/>
      <c r="C268" s="559"/>
      <c r="D268" s="559"/>
      <c r="E268" s="559"/>
      <c r="F268" s="559"/>
      <c r="G268" s="559"/>
      <c r="H268" s="559"/>
      <c r="I268" s="559"/>
      <c r="J268" s="559"/>
      <c r="K268" s="559"/>
      <c r="L268" s="559"/>
      <c r="M268" s="559"/>
      <c r="N268" s="559"/>
      <c r="O268" s="559"/>
      <c r="P268" s="559"/>
      <c r="Q268" s="559"/>
      <c r="R268" s="559"/>
      <c r="S268" s="559"/>
    </row>
    <row r="269" spans="1:19">
      <c r="A269" s="559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59"/>
      <c r="P269" s="559"/>
      <c r="Q269" s="559"/>
      <c r="R269" s="559"/>
      <c r="S269" s="559"/>
    </row>
    <row r="270" spans="1:19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59"/>
      <c r="P270" s="559"/>
      <c r="Q270" s="559"/>
      <c r="R270" s="559"/>
      <c r="S270" s="559"/>
    </row>
    <row r="271" spans="1:19">
      <c r="A271" s="559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</row>
    <row r="272" spans="1:19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</row>
    <row r="273" spans="1:19">
      <c r="A273" s="559"/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</row>
    <row r="274" spans="1:19">
      <c r="A274" s="559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</row>
    <row r="275" spans="1:19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59"/>
      <c r="P275" s="559"/>
      <c r="Q275" s="559"/>
      <c r="R275" s="559"/>
      <c r="S275" s="559"/>
    </row>
    <row r="276" spans="1:19">
      <c r="A276" s="559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</row>
    <row r="277" spans="1:19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59"/>
      <c r="P277" s="559"/>
      <c r="Q277" s="559"/>
      <c r="R277" s="559"/>
      <c r="S277" s="559"/>
    </row>
    <row r="278" spans="1:19">
      <c r="A278" s="559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</row>
    <row r="279" spans="1:19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59"/>
      <c r="P279" s="559"/>
      <c r="Q279" s="559"/>
      <c r="R279" s="559"/>
      <c r="S279" s="559"/>
    </row>
    <row r="280" spans="1:19">
      <c r="A280" s="559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</row>
    <row r="281" spans="1:19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</row>
    <row r="282" spans="1:19">
      <c r="A282" s="559"/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</row>
    <row r="283" spans="1:19">
      <c r="A283" s="559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</row>
    <row r="284" spans="1:19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59"/>
      <c r="P284" s="559"/>
      <c r="Q284" s="559"/>
      <c r="R284" s="559"/>
      <c r="S284" s="559"/>
    </row>
    <row r="285" spans="1:19">
      <c r="A285" s="559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</row>
    <row r="286" spans="1:19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</row>
    <row r="287" spans="1:19">
      <c r="A287" s="559"/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</row>
    <row r="288" spans="1:19">
      <c r="A288" s="559"/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</row>
    <row r="289" spans="1:19">
      <c r="A289" s="559"/>
      <c r="B289" s="559"/>
      <c r="C289" s="559"/>
      <c r="D289" s="559"/>
      <c r="E289" s="559"/>
      <c r="F289" s="559"/>
      <c r="G289" s="559"/>
      <c r="H289" s="559"/>
      <c r="I289" s="559"/>
      <c r="J289" s="559"/>
      <c r="K289" s="559"/>
      <c r="L289" s="559"/>
      <c r="M289" s="559"/>
      <c r="N289" s="559"/>
      <c r="O289" s="559"/>
      <c r="P289" s="559"/>
      <c r="Q289" s="559"/>
      <c r="R289" s="559"/>
      <c r="S289" s="559"/>
    </row>
    <row r="290" spans="1:19">
      <c r="A290" s="559"/>
      <c r="B290" s="559"/>
      <c r="C290" s="559"/>
      <c r="D290" s="559"/>
      <c r="E290" s="559"/>
      <c r="F290" s="559"/>
      <c r="G290" s="559"/>
      <c r="H290" s="559"/>
      <c r="I290" s="559"/>
      <c r="J290" s="559"/>
      <c r="K290" s="559"/>
      <c r="L290" s="559"/>
      <c r="M290" s="559"/>
      <c r="N290" s="559"/>
      <c r="O290" s="559"/>
      <c r="P290" s="559"/>
      <c r="Q290" s="559"/>
      <c r="R290" s="559"/>
      <c r="S290" s="559"/>
    </row>
    <row r="291" spans="1:19">
      <c r="A291" s="559"/>
      <c r="B291" s="559"/>
      <c r="C291" s="559"/>
      <c r="D291" s="559"/>
      <c r="E291" s="559"/>
      <c r="F291" s="559"/>
      <c r="G291" s="559"/>
      <c r="H291" s="559"/>
      <c r="I291" s="559"/>
      <c r="J291" s="559"/>
      <c r="K291" s="559"/>
      <c r="L291" s="559"/>
      <c r="M291" s="559"/>
      <c r="N291" s="559"/>
      <c r="O291" s="559"/>
      <c r="P291" s="559"/>
      <c r="Q291" s="559"/>
      <c r="R291" s="559"/>
      <c r="S291" s="559"/>
    </row>
    <row r="292" spans="1:19">
      <c r="A292" s="559"/>
      <c r="B292" s="559"/>
      <c r="C292" s="559"/>
      <c r="D292" s="559"/>
      <c r="E292" s="559"/>
      <c r="F292" s="559"/>
      <c r="G292" s="559"/>
      <c r="H292" s="559"/>
      <c r="I292" s="559"/>
      <c r="J292" s="559"/>
      <c r="K292" s="559"/>
      <c r="L292" s="559"/>
      <c r="M292" s="559"/>
      <c r="N292" s="559"/>
      <c r="O292" s="559"/>
      <c r="P292" s="559"/>
      <c r="Q292" s="559"/>
      <c r="R292" s="559"/>
      <c r="S292" s="559"/>
    </row>
    <row r="293" spans="1:19">
      <c r="A293" s="559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59"/>
      <c r="P293" s="559"/>
      <c r="Q293" s="559"/>
      <c r="R293" s="559"/>
      <c r="S293" s="559"/>
    </row>
    <row r="294" spans="1:19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59"/>
      <c r="P294" s="559"/>
      <c r="Q294" s="559"/>
      <c r="R294" s="559"/>
      <c r="S294" s="559"/>
    </row>
    <row r="295" spans="1:19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</row>
    <row r="296" spans="1:19">
      <c r="A296" s="559"/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</row>
    <row r="297" spans="1:19">
      <c r="A297" s="559"/>
      <c r="B297" s="559"/>
      <c r="C297" s="559"/>
      <c r="D297" s="559"/>
      <c r="E297" s="559"/>
      <c r="F297" s="559"/>
      <c r="G297" s="559"/>
      <c r="H297" s="559"/>
      <c r="I297" s="559"/>
      <c r="J297" s="559"/>
      <c r="K297" s="559"/>
      <c r="L297" s="559"/>
      <c r="M297" s="559"/>
      <c r="N297" s="559"/>
      <c r="O297" s="559"/>
      <c r="P297" s="559"/>
      <c r="Q297" s="559"/>
      <c r="R297" s="559"/>
      <c r="S297" s="559"/>
    </row>
    <row r="298" spans="1:19">
      <c r="A298" s="559"/>
      <c r="B298" s="559"/>
      <c r="C298" s="559"/>
      <c r="D298" s="559"/>
      <c r="E298" s="559"/>
      <c r="F298" s="559"/>
      <c r="G298" s="559"/>
      <c r="H298" s="559"/>
      <c r="I298" s="559"/>
      <c r="J298" s="559"/>
      <c r="K298" s="559"/>
      <c r="L298" s="559"/>
      <c r="M298" s="559"/>
      <c r="N298" s="559"/>
      <c r="O298" s="559"/>
      <c r="P298" s="559"/>
      <c r="Q298" s="559"/>
      <c r="R298" s="559"/>
      <c r="S298" s="559"/>
    </row>
    <row r="299" spans="1:19">
      <c r="A299" s="559"/>
      <c r="B299" s="559"/>
      <c r="C299" s="559"/>
      <c r="D299" s="559"/>
      <c r="E299" s="559"/>
      <c r="F299" s="559"/>
      <c r="G299" s="559"/>
      <c r="H299" s="559"/>
      <c r="I299" s="559"/>
      <c r="J299" s="559"/>
      <c r="K299" s="559"/>
      <c r="L299" s="559"/>
      <c r="M299" s="559"/>
      <c r="N299" s="559"/>
      <c r="O299" s="559"/>
      <c r="P299" s="559"/>
      <c r="Q299" s="559"/>
      <c r="R299" s="559"/>
      <c r="S299" s="559"/>
    </row>
    <row r="300" spans="1:19">
      <c r="A300" s="559"/>
      <c r="B300" s="559"/>
      <c r="C300" s="559"/>
      <c r="D300" s="559"/>
      <c r="E300" s="559"/>
      <c r="F300" s="559"/>
      <c r="G300" s="559"/>
      <c r="H300" s="559"/>
      <c r="I300" s="559"/>
      <c r="J300" s="559"/>
      <c r="K300" s="559"/>
      <c r="L300" s="559"/>
      <c r="M300" s="559"/>
      <c r="N300" s="559"/>
      <c r="O300" s="559"/>
      <c r="P300" s="559"/>
      <c r="Q300" s="559"/>
      <c r="R300" s="559"/>
      <c r="S300" s="559"/>
    </row>
    <row r="301" spans="1:19">
      <c r="A301" s="559"/>
      <c r="B301" s="559"/>
      <c r="C301" s="559"/>
      <c r="D301" s="559"/>
      <c r="E301" s="559"/>
      <c r="F301" s="559"/>
      <c r="G301" s="559"/>
      <c r="H301" s="559"/>
      <c r="I301" s="559"/>
      <c r="J301" s="559"/>
      <c r="K301" s="559"/>
      <c r="L301" s="559"/>
      <c r="M301" s="559"/>
      <c r="N301" s="559"/>
      <c r="O301" s="559"/>
      <c r="P301" s="559"/>
      <c r="Q301" s="559"/>
      <c r="R301" s="559"/>
      <c r="S301" s="559"/>
    </row>
    <row r="302" spans="1:19">
      <c r="A302" s="559"/>
      <c r="B302" s="559"/>
      <c r="C302" s="559"/>
      <c r="D302" s="559"/>
      <c r="E302" s="559"/>
      <c r="F302" s="559"/>
      <c r="G302" s="559"/>
      <c r="H302" s="559"/>
      <c r="I302" s="559"/>
      <c r="J302" s="559"/>
      <c r="K302" s="559"/>
      <c r="L302" s="559"/>
      <c r="M302" s="559"/>
      <c r="N302" s="559"/>
      <c r="O302" s="559"/>
      <c r="P302" s="559"/>
      <c r="Q302" s="559"/>
      <c r="R302" s="559"/>
      <c r="S302" s="559"/>
    </row>
    <row r="303" spans="1:19">
      <c r="A303" s="559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59"/>
      <c r="P303" s="559"/>
      <c r="Q303" s="559"/>
      <c r="R303" s="559"/>
      <c r="S303" s="559"/>
    </row>
    <row r="304" spans="1:19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59"/>
      <c r="P304" s="559"/>
      <c r="Q304" s="559"/>
      <c r="R304" s="559"/>
      <c r="S304" s="559"/>
    </row>
    <row r="305" spans="1:19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</row>
    <row r="306" spans="1:19">
      <c r="A306" s="559"/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</row>
    <row r="307" spans="1:19">
      <c r="A307" s="559"/>
      <c r="B307" s="559"/>
      <c r="C307" s="559"/>
      <c r="D307" s="559"/>
      <c r="E307" s="559"/>
      <c r="F307" s="559"/>
      <c r="G307" s="559"/>
      <c r="H307" s="559"/>
      <c r="I307" s="559"/>
      <c r="J307" s="559"/>
      <c r="K307" s="559"/>
      <c r="L307" s="559"/>
      <c r="M307" s="559"/>
      <c r="N307" s="559"/>
      <c r="O307" s="559"/>
      <c r="P307" s="559"/>
      <c r="Q307" s="559"/>
      <c r="R307" s="559"/>
      <c r="S307" s="559"/>
    </row>
    <row r="308" spans="1:19">
      <c r="A308" s="559"/>
      <c r="B308" s="559"/>
      <c r="C308" s="559"/>
      <c r="D308" s="559"/>
      <c r="E308" s="559"/>
      <c r="F308" s="559"/>
      <c r="G308" s="559"/>
      <c r="H308" s="559"/>
      <c r="I308" s="559"/>
      <c r="J308" s="559"/>
      <c r="K308" s="559"/>
      <c r="L308" s="559"/>
      <c r="M308" s="559"/>
      <c r="N308" s="559"/>
      <c r="O308" s="559"/>
      <c r="P308" s="559"/>
      <c r="Q308" s="559"/>
      <c r="R308" s="559"/>
      <c r="S308" s="559"/>
    </row>
    <row r="309" spans="1:19">
      <c r="A309" s="559"/>
      <c r="B309" s="559"/>
      <c r="C309" s="559"/>
      <c r="D309" s="559"/>
      <c r="E309" s="559"/>
      <c r="F309" s="559"/>
      <c r="G309" s="559"/>
      <c r="H309" s="559"/>
      <c r="I309" s="559"/>
      <c r="J309" s="559"/>
      <c r="K309" s="559"/>
      <c r="L309" s="559"/>
      <c r="M309" s="559"/>
      <c r="N309" s="559"/>
      <c r="O309" s="559"/>
      <c r="P309" s="559"/>
      <c r="Q309" s="559"/>
      <c r="R309" s="559"/>
      <c r="S309" s="559"/>
    </row>
    <row r="310" spans="1:19">
      <c r="A310" s="559"/>
      <c r="B310" s="559"/>
      <c r="C310" s="559"/>
      <c r="D310" s="559"/>
      <c r="E310" s="559"/>
      <c r="F310" s="559"/>
      <c r="G310" s="559"/>
      <c r="H310" s="559"/>
      <c r="I310" s="559"/>
      <c r="J310" s="559"/>
      <c r="K310" s="559"/>
      <c r="L310" s="559"/>
      <c r="M310" s="559"/>
      <c r="N310" s="559"/>
      <c r="O310" s="559"/>
      <c r="P310" s="559"/>
      <c r="Q310" s="559"/>
      <c r="R310" s="559"/>
      <c r="S310" s="559"/>
    </row>
    <row r="311" spans="1:19">
      <c r="A311" s="559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59"/>
      <c r="P311" s="559"/>
      <c r="Q311" s="559"/>
      <c r="R311" s="559"/>
      <c r="S311" s="559"/>
    </row>
    <row r="312" spans="1:19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59"/>
      <c r="P312" s="559"/>
      <c r="Q312" s="559"/>
      <c r="R312" s="559"/>
      <c r="S312" s="559"/>
    </row>
    <row r="313" spans="1:19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</row>
    <row r="314" spans="1:19">
      <c r="A314" s="559"/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</row>
    <row r="315" spans="1:19">
      <c r="A315" s="559"/>
      <c r="B315" s="559"/>
      <c r="C315" s="559"/>
      <c r="D315" s="559"/>
      <c r="E315" s="559"/>
      <c r="F315" s="559"/>
      <c r="G315" s="559"/>
      <c r="H315" s="559"/>
      <c r="I315" s="559"/>
      <c r="J315" s="559"/>
      <c r="K315" s="559"/>
      <c r="L315" s="559"/>
      <c r="M315" s="559"/>
      <c r="N315" s="559"/>
      <c r="O315" s="559"/>
      <c r="P315" s="559"/>
      <c r="Q315" s="559"/>
      <c r="R315" s="559"/>
      <c r="S315" s="559"/>
    </row>
    <row r="316" spans="1:19">
      <c r="A316" s="559"/>
      <c r="B316" s="559"/>
      <c r="C316" s="559"/>
      <c r="D316" s="559"/>
      <c r="E316" s="559"/>
      <c r="F316" s="559"/>
      <c r="G316" s="559"/>
      <c r="H316" s="559"/>
      <c r="I316" s="559"/>
      <c r="J316" s="559"/>
      <c r="K316" s="559"/>
      <c r="L316" s="559"/>
      <c r="M316" s="559"/>
      <c r="N316" s="559"/>
      <c r="O316" s="559"/>
      <c r="P316" s="559"/>
      <c r="Q316" s="559"/>
      <c r="R316" s="559"/>
      <c r="S316" s="559"/>
    </row>
    <row r="317" spans="1:19">
      <c r="A317" s="559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59"/>
      <c r="P317" s="559"/>
      <c r="Q317" s="559"/>
      <c r="R317" s="559"/>
      <c r="S317" s="559"/>
    </row>
    <row r="318" spans="1:19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59"/>
      <c r="P318" s="559"/>
      <c r="Q318" s="559"/>
      <c r="R318" s="559"/>
      <c r="S318" s="559"/>
    </row>
    <row r="319" spans="1:19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</row>
    <row r="320" spans="1:19">
      <c r="A320" s="559"/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</row>
    <row r="321" spans="1:19">
      <c r="A321" s="559"/>
      <c r="B321" s="559"/>
      <c r="C321" s="559"/>
      <c r="D321" s="559"/>
      <c r="E321" s="559"/>
      <c r="F321" s="559"/>
      <c r="G321" s="559"/>
      <c r="H321" s="559"/>
      <c r="I321" s="559"/>
      <c r="J321" s="559"/>
      <c r="K321" s="559"/>
      <c r="L321" s="559"/>
      <c r="M321" s="559"/>
      <c r="N321" s="559"/>
      <c r="O321" s="559"/>
      <c r="P321" s="559"/>
      <c r="Q321" s="559"/>
      <c r="R321" s="559"/>
      <c r="S321" s="559"/>
    </row>
    <row r="322" spans="1:19">
      <c r="A322" s="559"/>
      <c r="B322" s="559"/>
      <c r="C322" s="559"/>
      <c r="D322" s="559"/>
      <c r="E322" s="559"/>
      <c r="F322" s="559"/>
      <c r="G322" s="559"/>
      <c r="H322" s="559"/>
      <c r="I322" s="559"/>
      <c r="J322" s="559"/>
      <c r="K322" s="559"/>
      <c r="L322" s="559"/>
      <c r="M322" s="559"/>
      <c r="N322" s="559"/>
      <c r="O322" s="559"/>
      <c r="P322" s="559"/>
      <c r="Q322" s="559"/>
      <c r="R322" s="559"/>
      <c r="S322" s="559"/>
    </row>
    <row r="323" spans="1:19">
      <c r="A323" s="559"/>
      <c r="B323" s="559"/>
      <c r="C323" s="559"/>
      <c r="D323" s="559"/>
      <c r="E323" s="559"/>
      <c r="F323" s="559"/>
      <c r="G323" s="559"/>
      <c r="H323" s="559"/>
      <c r="I323" s="559"/>
      <c r="J323" s="559"/>
      <c r="K323" s="559"/>
      <c r="L323" s="559"/>
      <c r="M323" s="559"/>
      <c r="N323" s="559"/>
      <c r="O323" s="559"/>
      <c r="P323" s="559"/>
      <c r="Q323" s="559"/>
      <c r="R323" s="559"/>
      <c r="S323" s="559"/>
    </row>
    <row r="324" spans="1:19">
      <c r="A324" s="559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59"/>
      <c r="P324" s="559"/>
      <c r="Q324" s="559"/>
      <c r="R324" s="559"/>
      <c r="S324" s="559"/>
    </row>
    <row r="325" spans="1:19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59"/>
      <c r="P325" s="559"/>
      <c r="Q325" s="559"/>
      <c r="R325" s="559"/>
      <c r="S325" s="559"/>
    </row>
    <row r="326" spans="1:19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</row>
    <row r="327" spans="1:19">
      <c r="A327" s="559"/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</row>
    <row r="328" spans="1:19">
      <c r="A328" s="559"/>
      <c r="B328" s="559"/>
      <c r="C328" s="559"/>
      <c r="D328" s="559"/>
      <c r="E328" s="559"/>
      <c r="F328" s="559"/>
      <c r="G328" s="559"/>
      <c r="H328" s="559"/>
      <c r="I328" s="559"/>
      <c r="J328" s="559"/>
      <c r="K328" s="559"/>
      <c r="L328" s="559"/>
      <c r="M328" s="559"/>
      <c r="N328" s="559"/>
      <c r="O328" s="559"/>
      <c r="P328" s="559"/>
      <c r="Q328" s="559"/>
      <c r="R328" s="559"/>
      <c r="S328" s="559"/>
    </row>
    <row r="329" spans="1:19">
      <c r="A329" s="559"/>
      <c r="B329" s="559"/>
      <c r="C329" s="559"/>
      <c r="D329" s="559"/>
      <c r="E329" s="559"/>
      <c r="F329" s="559"/>
      <c r="G329" s="559"/>
      <c r="H329" s="559"/>
      <c r="I329" s="559"/>
      <c r="J329" s="559"/>
      <c r="K329" s="559"/>
      <c r="L329" s="559"/>
      <c r="M329" s="559"/>
      <c r="N329" s="559"/>
      <c r="O329" s="559"/>
      <c r="P329" s="559"/>
      <c r="Q329" s="559"/>
      <c r="R329" s="559"/>
      <c r="S329" s="559"/>
    </row>
    <row r="330" spans="1:19">
      <c r="A330" s="559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59"/>
      <c r="P330" s="559"/>
      <c r="Q330" s="559"/>
      <c r="R330" s="559"/>
      <c r="S330" s="559"/>
    </row>
    <row r="331" spans="1:19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59"/>
      <c r="P331" s="559"/>
      <c r="Q331" s="559"/>
      <c r="R331" s="559"/>
      <c r="S331" s="559"/>
    </row>
    <row r="332" spans="1:19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</row>
    <row r="333" spans="1:19">
      <c r="A333" s="559"/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</row>
    <row r="334" spans="1:19">
      <c r="A334" s="559"/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</row>
    <row r="335" spans="1:19">
      <c r="A335" s="559"/>
      <c r="B335" s="559"/>
      <c r="C335" s="559"/>
      <c r="D335" s="559"/>
      <c r="E335" s="559"/>
      <c r="F335" s="559"/>
      <c r="G335" s="559"/>
      <c r="H335" s="559"/>
      <c r="I335" s="559"/>
      <c r="J335" s="559"/>
      <c r="K335" s="559"/>
      <c r="L335" s="559"/>
      <c r="M335" s="559"/>
      <c r="N335" s="559"/>
      <c r="O335" s="559"/>
      <c r="P335" s="559"/>
      <c r="Q335" s="559"/>
      <c r="R335" s="559"/>
      <c r="S335" s="559"/>
    </row>
    <row r="336" spans="1:19">
      <c r="A336" s="559"/>
      <c r="B336" s="559"/>
      <c r="C336" s="559"/>
      <c r="D336" s="559"/>
      <c r="E336" s="559"/>
      <c r="F336" s="559"/>
      <c r="G336" s="559"/>
      <c r="H336" s="559"/>
      <c r="I336" s="559"/>
      <c r="J336" s="559"/>
      <c r="K336" s="559"/>
      <c r="L336" s="559"/>
      <c r="M336" s="559"/>
      <c r="N336" s="559"/>
      <c r="O336" s="559"/>
      <c r="P336" s="559"/>
      <c r="Q336" s="559"/>
      <c r="R336" s="559"/>
      <c r="S336" s="559"/>
    </row>
    <row r="337" spans="1:19">
      <c r="A337" s="559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59"/>
      <c r="P337" s="559"/>
      <c r="Q337" s="559"/>
      <c r="R337" s="559"/>
      <c r="S337" s="559"/>
    </row>
    <row r="338" spans="1:19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59"/>
      <c r="P338" s="559"/>
      <c r="Q338" s="559"/>
      <c r="R338" s="559"/>
      <c r="S338" s="559"/>
    </row>
    <row r="339" spans="1:19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59"/>
      <c r="P339" s="559"/>
      <c r="Q339" s="559"/>
      <c r="R339" s="559"/>
      <c r="S339" s="559"/>
    </row>
    <row r="340" spans="1:19">
      <c r="A340" s="559"/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</row>
    <row r="341" spans="1:19">
      <c r="A341" s="559"/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</row>
    <row r="342" spans="1:19">
      <c r="A342" s="559"/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</row>
    <row r="343" spans="1:19">
      <c r="A343" s="559"/>
      <c r="B343" s="559"/>
      <c r="C343" s="559"/>
      <c r="D343" s="559"/>
      <c r="E343" s="559"/>
      <c r="F343" s="559"/>
      <c r="G343" s="559"/>
      <c r="H343" s="559"/>
      <c r="I343" s="559"/>
      <c r="J343" s="559"/>
      <c r="K343" s="559"/>
      <c r="L343" s="559"/>
      <c r="M343" s="559"/>
      <c r="N343" s="559"/>
      <c r="O343" s="559"/>
      <c r="P343" s="559"/>
      <c r="Q343" s="559"/>
      <c r="R343" s="559"/>
      <c r="S343" s="559"/>
    </row>
    <row r="344" spans="1:19">
      <c r="A344" s="559"/>
      <c r="B344" s="559"/>
      <c r="C344" s="559"/>
      <c r="D344" s="559"/>
      <c r="E344" s="559"/>
      <c r="F344" s="559"/>
      <c r="G344" s="559"/>
      <c r="H344" s="559"/>
      <c r="I344" s="559"/>
      <c r="J344" s="559"/>
      <c r="K344" s="559"/>
      <c r="L344" s="559"/>
      <c r="M344" s="559"/>
      <c r="N344" s="559"/>
      <c r="O344" s="559"/>
      <c r="P344" s="559"/>
      <c r="Q344" s="559"/>
      <c r="R344" s="559"/>
      <c r="S344" s="559"/>
    </row>
    <row r="345" spans="1:19">
      <c r="A345" s="559"/>
      <c r="B345" s="559"/>
      <c r="C345" s="559"/>
      <c r="D345" s="559"/>
      <c r="E345" s="559"/>
      <c r="F345" s="559"/>
      <c r="G345" s="559"/>
      <c r="H345" s="559"/>
      <c r="I345" s="559"/>
      <c r="J345" s="559"/>
      <c r="K345" s="559"/>
      <c r="L345" s="559"/>
      <c r="M345" s="559"/>
      <c r="N345" s="559"/>
      <c r="O345" s="559"/>
      <c r="P345" s="559"/>
      <c r="Q345" s="559"/>
      <c r="R345" s="559"/>
      <c r="S345" s="559"/>
    </row>
    <row r="346" spans="1:19">
      <c r="A346" s="559"/>
      <c r="B346" s="559"/>
      <c r="C346" s="559"/>
      <c r="D346" s="559"/>
      <c r="E346" s="559"/>
      <c r="F346" s="559"/>
      <c r="G346" s="559"/>
      <c r="H346" s="559"/>
      <c r="I346" s="559"/>
      <c r="J346" s="559"/>
      <c r="K346" s="559"/>
      <c r="L346" s="559"/>
      <c r="M346" s="559"/>
      <c r="N346" s="559"/>
      <c r="O346" s="559"/>
      <c r="P346" s="559"/>
      <c r="Q346" s="559"/>
      <c r="R346" s="559"/>
      <c r="S346" s="559"/>
    </row>
    <row r="347" spans="1:19">
      <c r="A347" s="559"/>
      <c r="B347" s="559"/>
      <c r="C347" s="559"/>
      <c r="D347" s="559"/>
      <c r="E347" s="559"/>
      <c r="F347" s="559"/>
      <c r="G347" s="559"/>
      <c r="H347" s="559"/>
      <c r="I347" s="559"/>
      <c r="J347" s="559"/>
      <c r="K347" s="559"/>
      <c r="L347" s="559"/>
      <c r="M347" s="559"/>
      <c r="N347" s="559"/>
      <c r="O347" s="559"/>
      <c r="P347" s="559"/>
      <c r="Q347" s="559"/>
      <c r="R347" s="559"/>
      <c r="S347" s="559"/>
    </row>
    <row r="348" spans="1:19">
      <c r="A348" s="559"/>
      <c r="B348" s="559"/>
      <c r="C348" s="559"/>
      <c r="D348" s="559"/>
      <c r="E348" s="559"/>
      <c r="F348" s="559"/>
      <c r="G348" s="559"/>
      <c r="H348" s="559"/>
      <c r="I348" s="559"/>
      <c r="J348" s="559"/>
      <c r="K348" s="559"/>
      <c r="L348" s="559"/>
      <c r="M348" s="559"/>
      <c r="N348" s="559"/>
      <c r="O348" s="559"/>
      <c r="P348" s="559"/>
      <c r="Q348" s="559"/>
      <c r="R348" s="559"/>
      <c r="S348" s="559"/>
    </row>
    <row r="349" spans="1:19">
      <c r="A349" s="559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59"/>
      <c r="P349" s="559"/>
      <c r="Q349" s="559"/>
      <c r="R349" s="559"/>
      <c r="S349" s="559"/>
    </row>
    <row r="350" spans="1:19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59"/>
      <c r="P350" s="559"/>
      <c r="Q350" s="559"/>
      <c r="R350" s="559"/>
      <c r="S350" s="559"/>
    </row>
    <row r="351" spans="1:19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</row>
    <row r="352" spans="1:19">
      <c r="A352" s="559"/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</row>
    <row r="353" spans="1:19">
      <c r="A353" s="559"/>
      <c r="B353" s="559"/>
      <c r="C353" s="559"/>
      <c r="D353" s="559"/>
      <c r="E353" s="559"/>
      <c r="F353" s="559"/>
      <c r="G353" s="559"/>
      <c r="H353" s="559"/>
      <c r="I353" s="559"/>
      <c r="J353" s="559"/>
      <c r="K353" s="559"/>
      <c r="L353" s="559"/>
      <c r="M353" s="559"/>
      <c r="N353" s="559"/>
      <c r="O353" s="559"/>
      <c r="P353" s="559"/>
      <c r="Q353" s="559"/>
      <c r="R353" s="559"/>
      <c r="S353" s="559"/>
    </row>
    <row r="354" spans="1:19">
      <c r="A354" s="559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59"/>
      <c r="P354" s="559"/>
      <c r="Q354" s="559"/>
      <c r="R354" s="559"/>
      <c r="S354" s="559"/>
    </row>
    <row r="355" spans="1:19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59"/>
      <c r="P355" s="559"/>
      <c r="Q355" s="559"/>
      <c r="R355" s="559"/>
      <c r="S355" s="559"/>
    </row>
    <row r="356" spans="1:19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</row>
    <row r="357" spans="1:19">
      <c r="A357" s="559"/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</row>
    <row r="358" spans="1:19">
      <c r="A358" s="559"/>
      <c r="B358" s="559"/>
      <c r="C358" s="559"/>
      <c r="D358" s="559"/>
      <c r="E358" s="559"/>
      <c r="F358" s="559"/>
      <c r="G358" s="559"/>
      <c r="H358" s="559"/>
      <c r="I358" s="559"/>
      <c r="J358" s="559"/>
      <c r="K358" s="559"/>
      <c r="L358" s="559"/>
      <c r="M358" s="559"/>
      <c r="N358" s="559"/>
      <c r="O358" s="559"/>
      <c r="P358" s="559"/>
      <c r="Q358" s="559"/>
      <c r="R358" s="559"/>
      <c r="S358" s="559"/>
    </row>
    <row r="359" spans="1:19">
      <c r="A359" s="559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59"/>
      <c r="P359" s="559"/>
      <c r="Q359" s="559"/>
      <c r="R359" s="559"/>
      <c r="S359" s="559"/>
    </row>
    <row r="360" spans="1:19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59"/>
      <c r="P360" s="559"/>
      <c r="Q360" s="559"/>
      <c r="R360" s="559"/>
      <c r="S360" s="559"/>
    </row>
    <row r="361" spans="1:19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</row>
    <row r="362" spans="1:19">
      <c r="A362" s="559"/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</row>
    <row r="363" spans="1:19">
      <c r="A363" s="559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59"/>
      <c r="P363" s="559"/>
      <c r="Q363" s="559"/>
      <c r="R363" s="559"/>
      <c r="S363" s="559"/>
    </row>
    <row r="364" spans="1:19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59"/>
      <c r="P364" s="559"/>
      <c r="Q364" s="559"/>
      <c r="R364" s="559"/>
      <c r="S364" s="559"/>
    </row>
    <row r="365" spans="1:19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</row>
    <row r="366" spans="1:19">
      <c r="A366" s="559"/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</row>
    <row r="367" spans="1:19">
      <c r="A367" s="559"/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</row>
    <row r="368" spans="1:19">
      <c r="A368" s="559"/>
      <c r="B368" s="559"/>
      <c r="C368" s="559"/>
      <c r="D368" s="559"/>
      <c r="E368" s="559"/>
      <c r="F368" s="559"/>
      <c r="G368" s="559"/>
      <c r="H368" s="559"/>
      <c r="I368" s="559"/>
      <c r="J368" s="559"/>
      <c r="K368" s="559"/>
      <c r="L368" s="559"/>
      <c r="M368" s="559"/>
      <c r="N368" s="559"/>
      <c r="O368" s="559"/>
      <c r="P368" s="559"/>
      <c r="Q368" s="559"/>
      <c r="R368" s="559"/>
      <c r="S368" s="559"/>
    </row>
    <row r="369" spans="1:19">
      <c r="A369" s="559"/>
      <c r="B369" s="559"/>
      <c r="C369" s="559"/>
      <c r="D369" s="559"/>
      <c r="E369" s="559"/>
      <c r="F369" s="559"/>
      <c r="G369" s="559"/>
      <c r="H369" s="559"/>
      <c r="I369" s="559"/>
      <c r="J369" s="559"/>
      <c r="K369" s="559"/>
      <c r="L369" s="559"/>
      <c r="M369" s="559"/>
      <c r="N369" s="559"/>
      <c r="O369" s="559"/>
      <c r="P369" s="559"/>
      <c r="Q369" s="559"/>
      <c r="R369" s="559"/>
      <c r="S369" s="559"/>
    </row>
    <row r="370" spans="1:19">
      <c r="A370" s="559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59"/>
      <c r="P370" s="559"/>
      <c r="Q370" s="559"/>
      <c r="R370" s="559"/>
      <c r="S370" s="559"/>
    </row>
    <row r="371" spans="1:19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59"/>
      <c r="P371" s="559"/>
      <c r="Q371" s="559"/>
      <c r="R371" s="559"/>
      <c r="S371" s="559"/>
    </row>
    <row r="372" spans="1:19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</row>
    <row r="373" spans="1:19">
      <c r="A373" s="559"/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</row>
    <row r="374" spans="1:19">
      <c r="A374" s="559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59"/>
      <c r="P374" s="559"/>
      <c r="Q374" s="559"/>
      <c r="R374" s="559"/>
      <c r="S374" s="559"/>
    </row>
    <row r="375" spans="1:19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59"/>
      <c r="P375" s="559"/>
      <c r="Q375" s="559"/>
      <c r="R375" s="559"/>
      <c r="S375" s="559"/>
    </row>
    <row r="376" spans="1:19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</row>
    <row r="377" spans="1:19">
      <c r="A377" s="559"/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</row>
    <row r="378" spans="1:19">
      <c r="A378" s="559"/>
      <c r="B378" s="559"/>
      <c r="C378" s="559"/>
      <c r="D378" s="559"/>
      <c r="E378" s="559"/>
      <c r="F378" s="559"/>
      <c r="G378" s="559"/>
      <c r="H378" s="559"/>
      <c r="I378" s="559"/>
      <c r="J378" s="559"/>
      <c r="K378" s="559"/>
      <c r="L378" s="559"/>
      <c r="M378" s="559"/>
      <c r="N378" s="559"/>
      <c r="O378" s="559"/>
      <c r="P378" s="559"/>
      <c r="Q378" s="559"/>
      <c r="R378" s="559"/>
      <c r="S378" s="559"/>
    </row>
    <row r="379" spans="1:19">
      <c r="A379" s="559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59"/>
      <c r="P379" s="559"/>
      <c r="Q379" s="559"/>
      <c r="R379" s="559"/>
      <c r="S379" s="559"/>
    </row>
    <row r="380" spans="1:19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59"/>
      <c r="P380" s="559"/>
      <c r="Q380" s="559"/>
      <c r="R380" s="559"/>
      <c r="S380" s="559"/>
    </row>
    <row r="381" spans="1:19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</row>
    <row r="382" spans="1:19">
      <c r="A382" s="559"/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</row>
    <row r="383" spans="1:19">
      <c r="A383" s="559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59"/>
      <c r="P383" s="559"/>
      <c r="Q383" s="559"/>
      <c r="R383" s="559"/>
      <c r="S383" s="559"/>
    </row>
    <row r="384" spans="1:19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59"/>
      <c r="P384" s="559"/>
      <c r="Q384" s="559"/>
      <c r="R384" s="559"/>
      <c r="S384" s="559"/>
    </row>
    <row r="385" spans="1:19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59"/>
      <c r="P385" s="559"/>
      <c r="Q385" s="559"/>
      <c r="R385" s="559"/>
      <c r="S385" s="559"/>
    </row>
    <row r="386" spans="1:19">
      <c r="A386" s="559"/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</row>
    <row r="387" spans="1:19">
      <c r="A387" s="559"/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</row>
    <row r="388" spans="1:19">
      <c r="A388" s="559"/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</row>
    <row r="389" spans="1:19">
      <c r="A389" s="559"/>
      <c r="B389" s="559"/>
      <c r="C389" s="559"/>
      <c r="D389" s="559"/>
      <c r="E389" s="559"/>
      <c r="F389" s="559"/>
      <c r="G389" s="559"/>
      <c r="H389" s="559"/>
      <c r="I389" s="559"/>
      <c r="J389" s="559"/>
      <c r="K389" s="559"/>
      <c r="L389" s="559"/>
      <c r="M389" s="559"/>
      <c r="N389" s="559"/>
      <c r="O389" s="559"/>
      <c r="P389" s="559"/>
      <c r="Q389" s="559"/>
      <c r="R389" s="559"/>
      <c r="S389" s="559"/>
    </row>
    <row r="390" spans="1:19">
      <c r="A390" s="559"/>
      <c r="B390" s="559"/>
      <c r="C390" s="559"/>
      <c r="D390" s="559"/>
      <c r="E390" s="559"/>
      <c r="F390" s="559"/>
      <c r="G390" s="559"/>
      <c r="H390" s="559"/>
      <c r="I390" s="559"/>
      <c r="J390" s="559"/>
      <c r="K390" s="559"/>
      <c r="L390" s="559"/>
      <c r="M390" s="559"/>
      <c r="N390" s="559"/>
      <c r="O390" s="559"/>
      <c r="P390" s="559"/>
      <c r="Q390" s="559"/>
      <c r="R390" s="559"/>
      <c r="S390" s="559"/>
    </row>
    <row r="391" spans="1:19">
      <c r="A391" s="559"/>
      <c r="B391" s="559"/>
      <c r="C391" s="559"/>
      <c r="D391" s="559"/>
      <c r="E391" s="559"/>
      <c r="F391" s="559"/>
      <c r="G391" s="559"/>
      <c r="H391" s="559"/>
      <c r="I391" s="559"/>
      <c r="J391" s="559"/>
      <c r="K391" s="559"/>
      <c r="L391" s="559"/>
      <c r="M391" s="559"/>
      <c r="N391" s="559"/>
      <c r="O391" s="559"/>
      <c r="P391" s="559"/>
      <c r="Q391" s="559"/>
      <c r="R391" s="559"/>
      <c r="S391" s="559"/>
    </row>
    <row r="392" spans="1:19">
      <c r="A392" s="559"/>
      <c r="B392" s="559"/>
      <c r="C392" s="559"/>
      <c r="D392" s="559"/>
      <c r="E392" s="559"/>
      <c r="F392" s="559"/>
      <c r="G392" s="559"/>
      <c r="H392" s="559"/>
      <c r="I392" s="559"/>
      <c r="J392" s="559"/>
      <c r="K392" s="559"/>
      <c r="L392" s="559"/>
      <c r="M392" s="559"/>
      <c r="N392" s="559"/>
      <c r="O392" s="559"/>
      <c r="P392" s="559"/>
      <c r="Q392" s="559"/>
      <c r="R392" s="559"/>
      <c r="S392" s="559"/>
    </row>
    <row r="393" spans="1:19">
      <c r="A393" s="559"/>
      <c r="B393" s="559"/>
      <c r="C393" s="559"/>
      <c r="D393" s="559"/>
      <c r="E393" s="559"/>
      <c r="F393" s="559"/>
      <c r="G393" s="559"/>
      <c r="H393" s="559"/>
      <c r="I393" s="559"/>
      <c r="J393" s="559"/>
      <c r="K393" s="559"/>
      <c r="L393" s="559"/>
      <c r="M393" s="559"/>
      <c r="N393" s="559"/>
      <c r="O393" s="559"/>
      <c r="P393" s="559"/>
      <c r="Q393" s="559"/>
      <c r="R393" s="559"/>
      <c r="S393" s="559"/>
    </row>
    <row r="394" spans="1:19">
      <c r="A394" s="559"/>
      <c r="B394" s="559"/>
      <c r="C394" s="559"/>
      <c r="D394" s="559"/>
      <c r="E394" s="559"/>
      <c r="F394" s="559"/>
      <c r="G394" s="559"/>
      <c r="H394" s="559"/>
      <c r="I394" s="559"/>
      <c r="J394" s="559"/>
      <c r="K394" s="559"/>
      <c r="L394" s="559"/>
      <c r="M394" s="559"/>
      <c r="N394" s="559"/>
      <c r="O394" s="559"/>
      <c r="P394" s="559"/>
      <c r="Q394" s="559"/>
      <c r="R394" s="559"/>
      <c r="S394" s="559"/>
    </row>
    <row r="395" spans="1:19">
      <c r="A395" s="559"/>
      <c r="B395" s="559"/>
      <c r="C395" s="559"/>
      <c r="D395" s="559"/>
      <c r="E395" s="559"/>
      <c r="F395" s="559"/>
      <c r="G395" s="559"/>
      <c r="H395" s="559"/>
      <c r="I395" s="559"/>
      <c r="J395" s="559"/>
      <c r="K395" s="559"/>
      <c r="L395" s="559"/>
      <c r="M395" s="559"/>
      <c r="N395" s="559"/>
      <c r="O395" s="559"/>
      <c r="P395" s="559"/>
      <c r="Q395" s="559"/>
      <c r="R395" s="559"/>
      <c r="S395" s="559"/>
    </row>
    <row r="396" spans="1:19">
      <c r="A396" s="559"/>
      <c r="B396" s="559"/>
      <c r="C396" s="559"/>
      <c r="D396" s="559"/>
      <c r="E396" s="559"/>
      <c r="F396" s="559"/>
      <c r="G396" s="559"/>
      <c r="H396" s="559"/>
      <c r="I396" s="559"/>
      <c r="J396" s="559"/>
      <c r="K396" s="559"/>
      <c r="L396" s="559"/>
      <c r="M396" s="559"/>
      <c r="N396" s="559"/>
      <c r="O396" s="559"/>
      <c r="P396" s="559"/>
      <c r="Q396" s="559"/>
      <c r="R396" s="559"/>
      <c r="S396" s="559"/>
    </row>
    <row r="397" spans="1:19">
      <c r="A397" s="559"/>
      <c r="B397" s="559"/>
      <c r="C397" s="559"/>
      <c r="D397" s="559"/>
      <c r="E397" s="559"/>
      <c r="F397" s="559"/>
      <c r="G397" s="559"/>
      <c r="H397" s="559"/>
      <c r="I397" s="559"/>
      <c r="J397" s="559"/>
      <c r="K397" s="559"/>
      <c r="L397" s="559"/>
      <c r="M397" s="559"/>
      <c r="N397" s="559"/>
      <c r="O397" s="559"/>
      <c r="P397" s="559"/>
      <c r="Q397" s="559"/>
      <c r="R397" s="559"/>
      <c r="S397" s="559"/>
    </row>
    <row r="398" spans="1:19">
      <c r="A398" s="559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59"/>
      <c r="P398" s="559"/>
      <c r="Q398" s="559"/>
      <c r="R398" s="559"/>
      <c r="S398" s="559"/>
    </row>
    <row r="399" spans="1:19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59"/>
      <c r="P399" s="559"/>
      <c r="Q399" s="559"/>
      <c r="R399" s="559"/>
      <c r="S399" s="559"/>
    </row>
    <row r="400" spans="1:19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</row>
    <row r="401" spans="1:19">
      <c r="A401" s="559"/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</row>
    <row r="402" spans="1:19">
      <c r="A402" s="559"/>
      <c r="B402" s="559"/>
      <c r="C402" s="559"/>
      <c r="D402" s="559"/>
      <c r="E402" s="559"/>
      <c r="F402" s="559"/>
      <c r="G402" s="559"/>
      <c r="H402" s="559"/>
      <c r="I402" s="559"/>
      <c r="J402" s="559"/>
      <c r="K402" s="559"/>
      <c r="L402" s="559"/>
      <c r="M402" s="559"/>
      <c r="N402" s="559"/>
      <c r="O402" s="559"/>
      <c r="P402" s="559"/>
      <c r="Q402" s="559"/>
      <c r="R402" s="559"/>
      <c r="S402" s="559"/>
    </row>
    <row r="403" spans="1:19">
      <c r="A403" s="559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59"/>
      <c r="P403" s="559"/>
      <c r="Q403" s="559"/>
      <c r="R403" s="559"/>
      <c r="S403" s="559"/>
    </row>
    <row r="404" spans="1:19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59"/>
      <c r="P404" s="559"/>
      <c r="Q404" s="559"/>
      <c r="R404" s="559"/>
      <c r="S404" s="559"/>
    </row>
    <row r="405" spans="1:19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</row>
    <row r="406" spans="1:19">
      <c r="A406" s="559"/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</row>
    <row r="407" spans="1:19">
      <c r="A407" s="559"/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</row>
    <row r="408" spans="1:19">
      <c r="A408" s="559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59"/>
      <c r="P408" s="559"/>
      <c r="Q408" s="559"/>
      <c r="R408" s="559"/>
      <c r="S408" s="559"/>
    </row>
    <row r="409" spans="1:19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59"/>
      <c r="P409" s="559"/>
      <c r="Q409" s="559"/>
      <c r="R409" s="559"/>
      <c r="S409" s="559"/>
    </row>
    <row r="410" spans="1:19">
      <c r="A410" s="559"/>
      <c r="B410" s="559"/>
      <c r="C410" s="559"/>
      <c r="D410" s="559"/>
      <c r="E410" s="559"/>
      <c r="F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</row>
    <row r="411" spans="1:19"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</row>
    <row r="412" spans="1:19">
      <c r="H412" s="559"/>
      <c r="I412" s="559"/>
      <c r="J412" s="559"/>
      <c r="K412" s="559"/>
      <c r="L412" s="559"/>
      <c r="M412" s="559"/>
      <c r="N412" s="559"/>
      <c r="O412" s="559"/>
      <c r="P412" s="559"/>
      <c r="Q412" s="559"/>
      <c r="R412" s="559"/>
      <c r="S412" s="559"/>
    </row>
    <row r="413" spans="1:19">
      <c r="H413" s="559"/>
      <c r="I413" s="559"/>
      <c r="J413" s="559"/>
      <c r="K413" s="559"/>
      <c r="L413" s="559"/>
      <c r="M413" s="559"/>
      <c r="N413" s="559"/>
      <c r="O413" s="559"/>
      <c r="P413" s="559"/>
      <c r="Q413" s="559"/>
      <c r="R413" s="559"/>
      <c r="S413" s="559"/>
    </row>
    <row r="414" spans="1:19">
      <c r="H414" s="559"/>
      <c r="I414" s="559"/>
      <c r="J414" s="559"/>
      <c r="K414" s="559"/>
      <c r="L414" s="559"/>
      <c r="M414" s="559"/>
      <c r="N414" s="559"/>
      <c r="O414" s="559"/>
      <c r="P414" s="559"/>
      <c r="Q414" s="559"/>
      <c r="R414" s="559"/>
      <c r="S414" s="559"/>
    </row>
    <row r="415" spans="1:19">
      <c r="H415" s="559"/>
      <c r="I415" s="559"/>
      <c r="J415" s="559"/>
      <c r="K415" s="559"/>
      <c r="L415" s="559"/>
      <c r="M415" s="559"/>
      <c r="N415" s="559"/>
      <c r="O415" s="559"/>
      <c r="P415" s="559"/>
      <c r="Q415" s="559"/>
      <c r="R415" s="559"/>
      <c r="S415" s="559"/>
    </row>
    <row r="416" spans="1:19">
      <c r="H416" s="559"/>
      <c r="I416" s="559"/>
      <c r="J416" s="559"/>
      <c r="K416" s="559"/>
      <c r="L416" s="559"/>
      <c r="M416" s="559"/>
      <c r="N416" s="559"/>
      <c r="O416" s="559"/>
      <c r="P416" s="559"/>
      <c r="Q416" s="559"/>
      <c r="R416" s="559"/>
      <c r="S416" s="559"/>
    </row>
    <row r="417" spans="8:19"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</row>
    <row r="418" spans="8:19"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</row>
    <row r="419" spans="8:19">
      <c r="H419" s="559"/>
      <c r="S419" s="559"/>
    </row>
    <row r="420" spans="8:19">
      <c r="H420" s="559"/>
      <c r="S420" s="559"/>
    </row>
    <row r="421" spans="8:19">
      <c r="H421" s="559"/>
      <c r="S421" s="559"/>
    </row>
    <row r="422" spans="8:19">
      <c r="H422" s="559"/>
      <c r="S422" s="559"/>
    </row>
    <row r="423" spans="8:19">
      <c r="H423" s="559"/>
      <c r="S423" s="559"/>
    </row>
    <row r="424" spans="8:19">
      <c r="H424" s="559"/>
      <c r="S424" s="559"/>
    </row>
    <row r="425" spans="8:19">
      <c r="H425" s="559"/>
      <c r="S425" s="559"/>
    </row>
    <row r="426" spans="8:19">
      <c r="H426" s="559"/>
      <c r="S426" s="559"/>
    </row>
    <row r="427" spans="8:19">
      <c r="H427" s="559"/>
      <c r="S427" s="559"/>
    </row>
    <row r="428" spans="8:19">
      <c r="H428" s="559"/>
      <c r="S428" s="559"/>
    </row>
    <row r="429" spans="8:19">
      <c r="H429" s="559"/>
      <c r="S429" s="559"/>
    </row>
    <row r="430" spans="8:19">
      <c r="H430" s="559"/>
      <c r="S430" s="559"/>
    </row>
    <row r="431" spans="8:19">
      <c r="H431" s="559"/>
      <c r="S431" s="559"/>
    </row>
    <row r="432" spans="8:19">
      <c r="H432" s="559"/>
      <c r="S432" s="559"/>
    </row>
    <row r="433" spans="8:19">
      <c r="H433" s="559"/>
      <c r="S433" s="559"/>
    </row>
    <row r="434" spans="8:19">
      <c r="H434" s="559"/>
      <c r="S434" s="559"/>
    </row>
    <row r="435" spans="8:19">
      <c r="H435" s="559"/>
      <c r="S435" s="559"/>
    </row>
    <row r="436" spans="8:19">
      <c r="H436" s="559"/>
      <c r="S436" s="559"/>
    </row>
    <row r="437" spans="8:19">
      <c r="H437" s="559"/>
      <c r="S437" s="559"/>
    </row>
    <row r="438" spans="8:19">
      <c r="H438" s="559"/>
      <c r="S438" s="559"/>
    </row>
    <row r="439" spans="8:19">
      <c r="H439" s="559"/>
      <c r="S439" s="559"/>
    </row>
    <row r="440" spans="8:19">
      <c r="H440" s="559"/>
      <c r="S440" s="559"/>
    </row>
    <row r="441" spans="8:19">
      <c r="S441" s="559"/>
    </row>
    <row r="442" spans="8:19">
      <c r="S442" s="559"/>
    </row>
    <row r="443" spans="8:19">
      <c r="S443" s="559"/>
    </row>
    <row r="444" spans="8:19">
      <c r="S444" s="559"/>
    </row>
    <row r="445" spans="8:19">
      <c r="S445" s="559"/>
    </row>
    <row r="446" spans="8:19">
      <c r="S446" s="559"/>
    </row>
    <row r="447" spans="8:19">
      <c r="S447" s="559"/>
    </row>
    <row r="448" spans="8:19">
      <c r="S448" s="559"/>
    </row>
    <row r="449" spans="19:19">
      <c r="S449" s="559"/>
    </row>
    <row r="450" spans="19:19">
      <c r="S450" s="559"/>
    </row>
    <row r="451" spans="19:19">
      <c r="S451" s="559"/>
    </row>
    <row r="452" spans="19:19">
      <c r="S452" s="559"/>
    </row>
    <row r="453" spans="19:19">
      <c r="S453" s="559"/>
    </row>
    <row r="454" spans="19:19">
      <c r="S454" s="559"/>
    </row>
    <row r="455" spans="19:19">
      <c r="S455" s="559"/>
    </row>
    <row r="456" spans="19:19">
      <c r="S456" s="559"/>
    </row>
    <row r="457" spans="19:19">
      <c r="S457" s="559"/>
    </row>
  </sheetData>
  <mergeCells count="172">
    <mergeCell ref="R226:R227"/>
    <mergeCell ref="M244:O244"/>
    <mergeCell ref="M222:O222"/>
    <mergeCell ref="I226:I227"/>
    <mergeCell ref="J226:J227"/>
    <mergeCell ref="K226:K227"/>
    <mergeCell ref="L226:L227"/>
    <mergeCell ref="M226:M227"/>
    <mergeCell ref="N226:O227"/>
    <mergeCell ref="P226:P227"/>
    <mergeCell ref="Q226:Q227"/>
    <mergeCell ref="I212:I213"/>
    <mergeCell ref="J212:J213"/>
    <mergeCell ref="K212:K213"/>
    <mergeCell ref="L212:L213"/>
    <mergeCell ref="M212:M213"/>
    <mergeCell ref="N212:O213"/>
    <mergeCell ref="P212:P213"/>
    <mergeCell ref="Q212:Q213"/>
    <mergeCell ref="R212:R213"/>
    <mergeCell ref="F246:G246"/>
    <mergeCell ref="F247:G247"/>
    <mergeCell ref="F248:G248"/>
    <mergeCell ref="F249:G249"/>
    <mergeCell ref="A212:A213"/>
    <mergeCell ref="B212:B213"/>
    <mergeCell ref="C212:C213"/>
    <mergeCell ref="D212:D213"/>
    <mergeCell ref="E212:E213"/>
    <mergeCell ref="F212:F213"/>
    <mergeCell ref="G212:G213"/>
    <mergeCell ref="F242:G242"/>
    <mergeCell ref="F244:G244"/>
    <mergeCell ref="F171:G171"/>
    <mergeCell ref="F172:G172"/>
    <mergeCell ref="F173:G173"/>
    <mergeCell ref="F174:G174"/>
    <mergeCell ref="A157:A158"/>
    <mergeCell ref="B157:B158"/>
    <mergeCell ref="C157:C158"/>
    <mergeCell ref="D157:D158"/>
    <mergeCell ref="E157:E158"/>
    <mergeCell ref="F157:F158"/>
    <mergeCell ref="G157:G158"/>
    <mergeCell ref="F167:G167"/>
    <mergeCell ref="F169:G169"/>
    <mergeCell ref="F151:G151"/>
    <mergeCell ref="F152:G152"/>
    <mergeCell ref="F153:G153"/>
    <mergeCell ref="F126:F127"/>
    <mergeCell ref="G126:G127"/>
    <mergeCell ref="F146:G146"/>
    <mergeCell ref="F148:G148"/>
    <mergeCell ref="F150:G150"/>
    <mergeCell ref="A126:A127"/>
    <mergeCell ref="B126:B127"/>
    <mergeCell ref="C126:C127"/>
    <mergeCell ref="D126:D127"/>
    <mergeCell ref="E126:E127"/>
    <mergeCell ref="F122:G122"/>
    <mergeCell ref="F123:G123"/>
    <mergeCell ref="F124:G124"/>
    <mergeCell ref="F108:F109"/>
    <mergeCell ref="G108:G109"/>
    <mergeCell ref="F117:G117"/>
    <mergeCell ref="F119:G119"/>
    <mergeCell ref="F121:G121"/>
    <mergeCell ref="A108:A109"/>
    <mergeCell ref="B108:B109"/>
    <mergeCell ref="C108:C109"/>
    <mergeCell ref="D108:D109"/>
    <mergeCell ref="E108:E109"/>
    <mergeCell ref="Q82:Q83"/>
    <mergeCell ref="R82:R83"/>
    <mergeCell ref="M92:O92"/>
    <mergeCell ref="K82:K83"/>
    <mergeCell ref="L82:L83"/>
    <mergeCell ref="M82:M83"/>
    <mergeCell ref="N82:O83"/>
    <mergeCell ref="P82:P83"/>
    <mergeCell ref="F102:G102"/>
    <mergeCell ref="F103:G103"/>
    <mergeCell ref="F104:G104"/>
    <mergeCell ref="I82:I83"/>
    <mergeCell ref="J82:J83"/>
    <mergeCell ref="F82:F83"/>
    <mergeCell ref="G82:G83"/>
    <mergeCell ref="F97:G97"/>
    <mergeCell ref="F99:G99"/>
    <mergeCell ref="F101:G101"/>
    <mergeCell ref="A82:A83"/>
    <mergeCell ref="B82:B83"/>
    <mergeCell ref="C82:C83"/>
    <mergeCell ref="D82:D83"/>
    <mergeCell ref="E82:E83"/>
    <mergeCell ref="F80:G80"/>
    <mergeCell ref="N57:O58"/>
    <mergeCell ref="F73:G73"/>
    <mergeCell ref="F75:G75"/>
    <mergeCell ref="F77:G77"/>
    <mergeCell ref="F78:G78"/>
    <mergeCell ref="F79:G79"/>
    <mergeCell ref="M71:O71"/>
    <mergeCell ref="F57:F58"/>
    <mergeCell ref="G57:G58"/>
    <mergeCell ref="A57:A58"/>
    <mergeCell ref="B57:B58"/>
    <mergeCell ref="C57:C58"/>
    <mergeCell ref="D57:D58"/>
    <mergeCell ref="E57:E58"/>
    <mergeCell ref="P57:P58"/>
    <mergeCell ref="Q57:Q58"/>
    <mergeCell ref="R57:R58"/>
    <mergeCell ref="I57:I58"/>
    <mergeCell ref="J57:J58"/>
    <mergeCell ref="K57:K58"/>
    <mergeCell ref="L57:L58"/>
    <mergeCell ref="M57:M58"/>
    <mergeCell ref="F34:G34"/>
    <mergeCell ref="R43:R44"/>
    <mergeCell ref="I43:I44"/>
    <mergeCell ref="J43:J44"/>
    <mergeCell ref="K43:K44"/>
    <mergeCell ref="L43:L44"/>
    <mergeCell ref="M43:M44"/>
    <mergeCell ref="N43:O44"/>
    <mergeCell ref="P43:P44"/>
    <mergeCell ref="Q43:Q44"/>
    <mergeCell ref="F26:G26"/>
    <mergeCell ref="F28:G28"/>
    <mergeCell ref="F31:G31"/>
    <mergeCell ref="F32:G32"/>
    <mergeCell ref="F33:G33"/>
    <mergeCell ref="F2:F3"/>
    <mergeCell ref="A2:A3"/>
    <mergeCell ref="B2:B3"/>
    <mergeCell ref="C2:C3"/>
    <mergeCell ref="D2:D3"/>
    <mergeCell ref="E2:E3"/>
    <mergeCell ref="P2:P3"/>
    <mergeCell ref="Q2:Q3"/>
    <mergeCell ref="R2:R3"/>
    <mergeCell ref="S2:S3"/>
    <mergeCell ref="G2:G3"/>
    <mergeCell ref="N2:O3"/>
    <mergeCell ref="I2:I3"/>
    <mergeCell ref="J2:J3"/>
    <mergeCell ref="K2:K3"/>
    <mergeCell ref="L2:L3"/>
    <mergeCell ref="M2:M3"/>
    <mergeCell ref="C51:D51"/>
    <mergeCell ref="C47:D47"/>
    <mergeCell ref="C48:D48"/>
    <mergeCell ref="C49:D49"/>
    <mergeCell ref="M40:O40"/>
    <mergeCell ref="C44:D44"/>
    <mergeCell ref="C45:D45"/>
    <mergeCell ref="C46:D46"/>
    <mergeCell ref="C50:D50"/>
    <mergeCell ref="F202:G202"/>
    <mergeCell ref="F203:G203"/>
    <mergeCell ref="F204:G204"/>
    <mergeCell ref="F205:G205"/>
    <mergeCell ref="A178:A179"/>
    <mergeCell ref="B178:B179"/>
    <mergeCell ref="C178:C179"/>
    <mergeCell ref="D178:D179"/>
    <mergeCell ref="E178:E179"/>
    <mergeCell ref="F178:F179"/>
    <mergeCell ref="G178:G179"/>
    <mergeCell ref="F198:G198"/>
    <mergeCell ref="F200:G200"/>
  </mergeCells>
  <pageMargins left="0.16" right="0.16" top="0.27" bottom="0.16" header="0.16" footer="0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9"/>
  <sheetViews>
    <sheetView topLeftCell="A17" zoomScale="90" zoomScaleNormal="90" workbookViewId="0">
      <pane ySplit="2" topLeftCell="A94" activePane="bottomLeft" state="frozen"/>
      <selection activeCell="A19" sqref="A19:XFD19"/>
      <selection pane="bottomLeft" activeCell="Q70" sqref="Q70"/>
    </sheetView>
  </sheetViews>
  <sheetFormatPr defaultColWidth="10.7109375" defaultRowHeight="18" customHeight="1"/>
  <cols>
    <col min="1" max="1" width="4.7109375" customWidth="1"/>
    <col min="2" max="2" width="9.28515625" customWidth="1"/>
    <col min="3" max="3" width="28.7109375" hidden="1" customWidth="1"/>
    <col min="4" max="4" width="13.85546875" hidden="1" customWidth="1"/>
    <col min="5" max="5" width="12.7109375" hidden="1" customWidth="1"/>
    <col min="6" max="6" width="9.85546875" customWidth="1"/>
    <col min="7" max="7" width="6.5703125" customWidth="1"/>
    <col min="8" max="8" width="10.42578125" hidden="1" customWidth="1"/>
    <col min="9" max="9" width="12.140625" customWidth="1"/>
    <col min="10" max="10" width="8.140625" customWidth="1"/>
    <col min="11" max="11" width="7.7109375" customWidth="1"/>
    <col min="12" max="12" width="12" customWidth="1"/>
    <col min="13" max="13" width="8" customWidth="1"/>
    <col min="14" max="14" width="15" customWidth="1"/>
    <col min="15" max="15" width="10.5703125" customWidth="1"/>
    <col min="16" max="16" width="14.85546875" customWidth="1"/>
    <col min="17" max="17" width="22.7109375" customWidth="1"/>
    <col min="18" max="18" width="10.5703125" customWidth="1"/>
    <col min="19" max="19" width="14.85546875" customWidth="1"/>
    <col min="20" max="20" width="13.140625" customWidth="1"/>
    <col min="21" max="21" width="17" customWidth="1"/>
  </cols>
  <sheetData>
    <row r="1" spans="1:21" ht="18" customHeight="1">
      <c r="A1" s="277"/>
      <c r="B1" s="236"/>
      <c r="C1" s="236"/>
      <c r="D1" s="236"/>
      <c r="E1" s="236"/>
      <c r="F1" s="237" t="s">
        <v>416</v>
      </c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</row>
    <row r="2" spans="1:21" ht="18" customHeight="1">
      <c r="A2" s="236"/>
      <c r="B2" s="236"/>
      <c r="C2" s="236"/>
      <c r="D2" s="236"/>
      <c r="E2" s="236"/>
      <c r="F2" s="236" t="s">
        <v>415</v>
      </c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</row>
    <row r="3" spans="1:21" ht="9.75" customHeight="1">
      <c r="A3" s="236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</row>
    <row r="4" spans="1:21" ht="35.25" customHeight="1">
      <c r="A4" s="236"/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80" t="s">
        <v>417</v>
      </c>
      <c r="O4" s="236"/>
      <c r="P4" s="236"/>
      <c r="Q4" s="236"/>
      <c r="R4" s="236"/>
      <c r="S4" s="236"/>
      <c r="T4" s="236"/>
      <c r="U4" s="236"/>
    </row>
    <row r="5" spans="1:21" ht="18" customHeight="1">
      <c r="A5" s="236"/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 t="s">
        <v>418</v>
      </c>
      <c r="T5" s="236"/>
      <c r="U5" s="236"/>
    </row>
    <row r="6" spans="1:21" s="283" customFormat="1" ht="18" customHeight="1">
      <c r="A6" s="281"/>
      <c r="B6" s="281"/>
      <c r="C6" s="281"/>
      <c r="D6" s="281"/>
      <c r="E6" s="281"/>
      <c r="F6" s="282" t="s">
        <v>419</v>
      </c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 s="283" customFormat="1" ht="18" customHeight="1">
      <c r="A7" s="281"/>
      <c r="B7" s="281"/>
      <c r="C7" s="281"/>
      <c r="D7" s="281"/>
      <c r="E7" s="281"/>
      <c r="F7" s="281"/>
      <c r="G7" s="281" t="s">
        <v>420</v>
      </c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 s="283" customFormat="1" ht="18" customHeight="1">
      <c r="A8" s="281"/>
      <c r="B8" s="281"/>
      <c r="C8" s="281"/>
      <c r="D8" s="281"/>
      <c r="E8" s="281"/>
      <c r="F8" s="281"/>
      <c r="G8" s="281" t="s">
        <v>421</v>
      </c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 s="283" customFormat="1" ht="18" customHeight="1">
      <c r="A9" s="281"/>
      <c r="B9" s="281"/>
      <c r="C9" s="281"/>
      <c r="D9" s="281"/>
      <c r="E9" s="281"/>
      <c r="F9" s="281"/>
      <c r="G9" s="282" t="s">
        <v>422</v>
      </c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 s="283" customFormat="1" ht="18" customHeight="1">
      <c r="A10" s="281"/>
      <c r="B10" s="281"/>
      <c r="C10" s="281"/>
      <c r="D10" s="281"/>
      <c r="E10" s="281"/>
      <c r="F10" s="282" t="s">
        <v>423</v>
      </c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 s="283" customFormat="1" ht="18" customHeight="1">
      <c r="A11" s="281"/>
      <c r="B11" s="281"/>
      <c r="C11" s="281"/>
      <c r="D11" s="281"/>
      <c r="E11" s="281"/>
      <c r="F11" s="282"/>
      <c r="G11" s="281" t="s">
        <v>424</v>
      </c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</row>
    <row r="12" spans="1:21" s="283" customFormat="1" ht="18" customHeight="1">
      <c r="A12" s="281"/>
      <c r="B12" s="281"/>
      <c r="C12" s="281"/>
      <c r="D12" s="281"/>
      <c r="E12" s="281"/>
      <c r="F12" s="282"/>
      <c r="G12" s="281" t="s">
        <v>425</v>
      </c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 s="283" customFormat="1" ht="18" customHeight="1">
      <c r="A13" s="281"/>
      <c r="B13" s="281"/>
      <c r="C13" s="281"/>
      <c r="D13" s="281"/>
      <c r="E13" s="281"/>
      <c r="F13" s="282"/>
      <c r="G13" s="282" t="s">
        <v>426</v>
      </c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</row>
    <row r="14" spans="1:21" s="283" customFormat="1" ht="7.5" customHeight="1">
      <c r="A14" s="281"/>
      <c r="B14" s="281"/>
      <c r="C14" s="281"/>
      <c r="D14" s="281"/>
      <c r="E14" s="281"/>
      <c r="F14" s="282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</row>
    <row r="15" spans="1:21" s="283" customFormat="1" ht="18" customHeight="1">
      <c r="A15" s="281"/>
      <c r="B15" s="281"/>
      <c r="C15" s="281"/>
      <c r="D15" s="281"/>
      <c r="E15" s="281"/>
      <c r="F15" s="282" t="s">
        <v>427</v>
      </c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</row>
    <row r="16" spans="1:21" ht="12.75" customHeight="1">
      <c r="A16" s="236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</row>
    <row r="17" spans="1:21" ht="24" customHeight="1">
      <c r="A17" s="849" t="s">
        <v>428</v>
      </c>
      <c r="B17" s="849" t="s">
        <v>434</v>
      </c>
      <c r="C17" s="852" t="s">
        <v>2</v>
      </c>
      <c r="D17" s="852"/>
      <c r="E17" s="852"/>
      <c r="F17" s="852" t="s">
        <v>435</v>
      </c>
      <c r="G17" s="852"/>
      <c r="H17" s="852"/>
      <c r="I17" s="852"/>
      <c r="J17" s="849" t="s">
        <v>439</v>
      </c>
      <c r="K17" s="852"/>
      <c r="L17" s="852"/>
      <c r="M17" s="852"/>
      <c r="N17" s="852"/>
      <c r="O17" s="852"/>
      <c r="P17" s="852"/>
      <c r="Q17" s="849" t="s">
        <v>444</v>
      </c>
      <c r="R17" s="849"/>
      <c r="S17" s="849"/>
      <c r="T17" s="849" t="s">
        <v>449</v>
      </c>
      <c r="U17" s="849" t="s">
        <v>448</v>
      </c>
    </row>
    <row r="18" spans="1:21" s="279" customFormat="1" ht="48.75" customHeight="1">
      <c r="A18" s="849"/>
      <c r="B18" s="849" t="s">
        <v>1</v>
      </c>
      <c r="C18" s="278" t="s">
        <v>4</v>
      </c>
      <c r="D18" s="278" t="s">
        <v>5</v>
      </c>
      <c r="E18" s="278" t="s">
        <v>6</v>
      </c>
      <c r="F18" s="278" t="s">
        <v>436</v>
      </c>
      <c r="G18" s="278" t="s">
        <v>437</v>
      </c>
      <c r="H18" s="278" t="s">
        <v>411</v>
      </c>
      <c r="I18" s="278" t="s">
        <v>438</v>
      </c>
      <c r="J18" s="278" t="s">
        <v>440</v>
      </c>
      <c r="K18" s="278" t="s">
        <v>441</v>
      </c>
      <c r="L18" s="278" t="s">
        <v>442</v>
      </c>
      <c r="M18" s="278" t="s">
        <v>51</v>
      </c>
      <c r="N18" s="278" t="s">
        <v>443</v>
      </c>
      <c r="O18" s="278" t="s">
        <v>446</v>
      </c>
      <c r="P18" s="278" t="s">
        <v>443</v>
      </c>
      <c r="Q18" s="278" t="s">
        <v>445</v>
      </c>
      <c r="R18" s="278" t="s">
        <v>446</v>
      </c>
      <c r="S18" s="278" t="s">
        <v>447</v>
      </c>
      <c r="T18" s="849"/>
      <c r="U18" s="849"/>
    </row>
    <row r="19" spans="1:21" ht="18" customHeight="1">
      <c r="A19" s="144">
        <v>1</v>
      </c>
      <c r="B19" s="151">
        <v>42589</v>
      </c>
      <c r="C19" s="144" t="s">
        <v>10</v>
      </c>
      <c r="D19" s="144" t="s">
        <v>11</v>
      </c>
      <c r="E19" s="144">
        <v>3290158</v>
      </c>
      <c r="F19" s="238">
        <v>26000</v>
      </c>
      <c r="G19" s="239">
        <v>2.85</v>
      </c>
      <c r="H19" s="239">
        <f>F19*G19</f>
        <v>74100</v>
      </c>
      <c r="I19" s="831">
        <f>H19+H20</f>
        <v>148200</v>
      </c>
      <c r="J19" s="845">
        <v>42627</v>
      </c>
      <c r="K19" s="831">
        <f>I19-L19</f>
        <v>12</v>
      </c>
      <c r="L19" s="831">
        <v>148188</v>
      </c>
      <c r="M19" s="823">
        <v>22260</v>
      </c>
      <c r="N19" s="823">
        <f>L19*M19</f>
        <v>3298664880</v>
      </c>
      <c r="O19" s="823">
        <f>2780756/2</f>
        <v>1390378</v>
      </c>
      <c r="P19" s="823">
        <f>N19-O19</f>
        <v>3297274502</v>
      </c>
      <c r="Q19" s="264" t="s">
        <v>54</v>
      </c>
      <c r="R19" s="242">
        <f>S19*0.03%</f>
        <v>425087.69999999995</v>
      </c>
      <c r="S19" s="242">
        <v>1416959000</v>
      </c>
      <c r="T19" s="823">
        <v>202380822</v>
      </c>
      <c r="U19" s="144" t="s">
        <v>108</v>
      </c>
    </row>
    <row r="20" spans="1:21" ht="18" customHeight="1">
      <c r="A20" s="144">
        <v>2</v>
      </c>
      <c r="B20" s="241">
        <v>42589</v>
      </c>
      <c r="C20" s="144" t="s">
        <v>10</v>
      </c>
      <c r="D20" s="243" t="s">
        <v>12</v>
      </c>
      <c r="E20" s="243">
        <v>3290198</v>
      </c>
      <c r="F20" s="242">
        <v>26000</v>
      </c>
      <c r="G20" s="240">
        <v>2.85</v>
      </c>
      <c r="H20" s="240">
        <f t="shared" ref="H20" si="0">F20*G20</f>
        <v>74100</v>
      </c>
      <c r="I20" s="831"/>
      <c r="J20" s="845"/>
      <c r="K20" s="831"/>
      <c r="L20" s="831"/>
      <c r="M20" s="823"/>
      <c r="N20" s="823"/>
      <c r="O20" s="823"/>
      <c r="P20" s="823"/>
      <c r="Q20" s="253" t="s">
        <v>55</v>
      </c>
      <c r="R20" s="242">
        <f t="shared" ref="R20:R21" si="1">S20*0.03%</f>
        <v>426587.39999999997</v>
      </c>
      <c r="S20" s="242">
        <v>1421958000</v>
      </c>
      <c r="T20" s="823"/>
      <c r="U20" s="144"/>
    </row>
    <row r="21" spans="1:21" ht="18" customHeight="1">
      <c r="A21" s="144"/>
      <c r="B21" s="151"/>
      <c r="C21" s="144"/>
      <c r="D21" s="243"/>
      <c r="E21" s="243"/>
      <c r="F21" s="238"/>
      <c r="G21" s="239"/>
      <c r="H21" s="239"/>
      <c r="I21" s="866"/>
      <c r="J21" s="867"/>
      <c r="K21" s="866"/>
      <c r="L21" s="866"/>
      <c r="M21" s="865"/>
      <c r="N21" s="865"/>
      <c r="O21" s="865"/>
      <c r="P21" s="865"/>
      <c r="Q21" s="253" t="s">
        <v>56</v>
      </c>
      <c r="R21" s="242">
        <f t="shared" si="1"/>
        <v>77210.117399999988</v>
      </c>
      <c r="S21" s="242">
        <v>257367058</v>
      </c>
      <c r="T21" s="865"/>
      <c r="U21" s="144" t="s">
        <v>108</v>
      </c>
    </row>
    <row r="22" spans="1:21" ht="18" customHeight="1">
      <c r="A22" s="144">
        <v>3</v>
      </c>
      <c r="B22" s="244">
        <v>42596</v>
      </c>
      <c r="C22" s="243" t="s">
        <v>13</v>
      </c>
      <c r="D22" s="243" t="s">
        <v>14</v>
      </c>
      <c r="E22" s="243">
        <v>3751842</v>
      </c>
      <c r="F22" s="238">
        <v>26000</v>
      </c>
      <c r="G22" s="239">
        <v>2.85</v>
      </c>
      <c r="H22" s="239">
        <f t="shared" ref="H22:H68" si="2">F22*G22</f>
        <v>74100</v>
      </c>
      <c r="I22" s="831">
        <f>H22+H23</f>
        <v>148200</v>
      </c>
      <c r="J22" s="867">
        <v>42633</v>
      </c>
      <c r="K22" s="866">
        <f t="shared" ref="K22" si="3">I22-L22</f>
        <v>12</v>
      </c>
      <c r="L22" s="866">
        <v>148188</v>
      </c>
      <c r="M22" s="865">
        <v>22270</v>
      </c>
      <c r="N22" s="865">
        <f>L22*M22</f>
        <v>3300146760</v>
      </c>
      <c r="O22" s="865">
        <f>2780756/2</f>
        <v>1390378</v>
      </c>
      <c r="P22" s="823">
        <f t="shared" ref="P22" si="4">N22-O22</f>
        <v>3298756382</v>
      </c>
      <c r="Q22" s="253" t="s">
        <v>394</v>
      </c>
      <c r="R22" s="254">
        <v>449876</v>
      </c>
      <c r="S22" s="255">
        <v>1508000000</v>
      </c>
      <c r="T22" s="865"/>
      <c r="U22" s="144" t="s">
        <v>108</v>
      </c>
    </row>
    <row r="23" spans="1:21" ht="18" customHeight="1">
      <c r="A23" s="144">
        <v>4</v>
      </c>
      <c r="B23" s="244">
        <v>42596</v>
      </c>
      <c r="C23" s="243" t="s">
        <v>13</v>
      </c>
      <c r="D23" s="243" t="s">
        <v>15</v>
      </c>
      <c r="E23" s="243">
        <v>3755190</v>
      </c>
      <c r="F23" s="238">
        <v>26000</v>
      </c>
      <c r="G23" s="239">
        <v>2.85</v>
      </c>
      <c r="H23" s="239">
        <f t="shared" si="2"/>
        <v>74100</v>
      </c>
      <c r="I23" s="866"/>
      <c r="J23" s="867"/>
      <c r="K23" s="866"/>
      <c r="L23" s="866"/>
      <c r="M23" s="865"/>
      <c r="N23" s="865"/>
      <c r="O23" s="865"/>
      <c r="P23" s="865"/>
      <c r="Q23" s="253" t="s">
        <v>395</v>
      </c>
      <c r="R23" s="254">
        <v>531976</v>
      </c>
      <c r="S23" s="255">
        <v>1791165000</v>
      </c>
      <c r="T23" s="865"/>
      <c r="U23" s="144" t="s">
        <v>108</v>
      </c>
    </row>
    <row r="24" spans="1:21" ht="18" customHeight="1">
      <c r="A24" s="144">
        <v>5</v>
      </c>
      <c r="B24" s="244">
        <v>42662</v>
      </c>
      <c r="C24" s="243" t="s">
        <v>16</v>
      </c>
      <c r="D24" s="243" t="s">
        <v>17</v>
      </c>
      <c r="E24" s="243" t="s">
        <v>59</v>
      </c>
      <c r="F24" s="238">
        <v>26000</v>
      </c>
      <c r="G24" s="239">
        <v>2.8</v>
      </c>
      <c r="H24" s="239">
        <f t="shared" si="2"/>
        <v>72800</v>
      </c>
      <c r="I24" s="831">
        <f>H24+H25</f>
        <v>145600</v>
      </c>
      <c r="J24" s="867">
        <v>42685</v>
      </c>
      <c r="K24" s="866">
        <f t="shared" ref="K24" si="5">I24-L24</f>
        <v>12</v>
      </c>
      <c r="L24" s="866">
        <v>145588</v>
      </c>
      <c r="M24" s="865">
        <v>22285</v>
      </c>
      <c r="N24" s="865">
        <f t="shared" ref="N24" si="6">L24*M24</f>
        <v>3244428580</v>
      </c>
      <c r="O24" s="865">
        <v>1791144</v>
      </c>
      <c r="P24" s="823">
        <f t="shared" ref="P24" si="7">N24-O24</f>
        <v>3242637436</v>
      </c>
      <c r="Q24" s="253" t="s">
        <v>55</v>
      </c>
      <c r="R24" s="254">
        <v>688392.54</v>
      </c>
      <c r="S24" s="255">
        <v>2086038000</v>
      </c>
      <c r="T24" s="865">
        <v>106334296</v>
      </c>
      <c r="U24" s="144" t="s">
        <v>80</v>
      </c>
    </row>
    <row r="25" spans="1:21" ht="18" customHeight="1">
      <c r="A25" s="144">
        <v>6</v>
      </c>
      <c r="B25" s="244">
        <v>42662</v>
      </c>
      <c r="C25" s="243" t="s">
        <v>16</v>
      </c>
      <c r="D25" s="243" t="s">
        <v>18</v>
      </c>
      <c r="E25" s="243" t="s">
        <v>60</v>
      </c>
      <c r="F25" s="238">
        <v>26000</v>
      </c>
      <c r="G25" s="239">
        <v>2.8</v>
      </c>
      <c r="H25" s="239">
        <f t="shared" si="2"/>
        <v>72800</v>
      </c>
      <c r="I25" s="866"/>
      <c r="J25" s="867"/>
      <c r="K25" s="866"/>
      <c r="L25" s="866"/>
      <c r="M25" s="865"/>
      <c r="N25" s="865"/>
      <c r="O25" s="865"/>
      <c r="P25" s="865"/>
      <c r="Q25" s="253" t="s">
        <v>56</v>
      </c>
      <c r="R25" s="254">
        <v>176854.25586180002</v>
      </c>
      <c r="S25" s="255">
        <v>535745133.20413822</v>
      </c>
      <c r="T25" s="865"/>
      <c r="U25" s="144" t="s">
        <v>81</v>
      </c>
    </row>
    <row r="26" spans="1:21" ht="18" customHeight="1">
      <c r="A26" s="144" t="str">
        <f t="shared" ref="A26" si="8">IF(B26&lt;&gt;"",ROW()-3,"")</f>
        <v/>
      </c>
      <c r="B26" s="244"/>
      <c r="C26" s="243"/>
      <c r="D26" s="243"/>
      <c r="E26" s="243"/>
      <c r="F26" s="238"/>
      <c r="G26" s="239"/>
      <c r="H26" s="239"/>
      <c r="I26" s="830">
        <f>H28+H27</f>
        <v>145600</v>
      </c>
      <c r="J26" s="843">
        <v>42689</v>
      </c>
      <c r="K26" s="830">
        <f t="shared" ref="K26" si="9">I26-L26</f>
        <v>12</v>
      </c>
      <c r="L26" s="830">
        <v>145588</v>
      </c>
      <c r="M26" s="821">
        <v>22290</v>
      </c>
      <c r="N26" s="821">
        <f t="shared" ref="N26" si="10">L26*M26</f>
        <v>3245156520</v>
      </c>
      <c r="O26" s="821">
        <v>1791144</v>
      </c>
      <c r="P26" s="821">
        <f t="shared" ref="P26" si="11">N26-O26</f>
        <v>3243365376</v>
      </c>
      <c r="Q26" s="253" t="s">
        <v>55</v>
      </c>
      <c r="R26" s="254">
        <v>357930</v>
      </c>
      <c r="S26" s="255">
        <v>1084637000</v>
      </c>
      <c r="T26" s="263">
        <v>5087260</v>
      </c>
      <c r="U26" s="144" t="s">
        <v>433</v>
      </c>
    </row>
    <row r="27" spans="1:21" ht="18" customHeight="1">
      <c r="A27" s="144">
        <v>7</v>
      </c>
      <c r="B27" s="244">
        <v>42675</v>
      </c>
      <c r="C27" s="243" t="s">
        <v>61</v>
      </c>
      <c r="D27" s="243" t="s">
        <v>62</v>
      </c>
      <c r="E27" s="243" t="s">
        <v>64</v>
      </c>
      <c r="F27" s="242">
        <v>26000</v>
      </c>
      <c r="G27" s="240">
        <v>2.8</v>
      </c>
      <c r="H27" s="240">
        <f t="shared" ref="H27:H30" si="12">F27*G27</f>
        <v>72800</v>
      </c>
      <c r="I27" s="842"/>
      <c r="J27" s="844"/>
      <c r="K27" s="842"/>
      <c r="L27" s="842"/>
      <c r="M27" s="822"/>
      <c r="N27" s="822"/>
      <c r="O27" s="822"/>
      <c r="P27" s="822"/>
      <c r="Q27" s="253" t="s">
        <v>131</v>
      </c>
      <c r="R27" s="254">
        <v>480480</v>
      </c>
      <c r="S27" s="255">
        <v>1456000000</v>
      </c>
      <c r="T27" s="821">
        <f>300173928</f>
        <v>300173928</v>
      </c>
      <c r="U27" s="144" t="s">
        <v>108</v>
      </c>
    </row>
    <row r="28" spans="1:21" ht="18" customHeight="1">
      <c r="A28" s="144">
        <v>8</v>
      </c>
      <c r="B28" s="244">
        <v>42675</v>
      </c>
      <c r="C28" s="243" t="s">
        <v>61</v>
      </c>
      <c r="D28" s="243" t="s">
        <v>63</v>
      </c>
      <c r="E28" s="243" t="s">
        <v>65</v>
      </c>
      <c r="F28" s="242">
        <v>26000</v>
      </c>
      <c r="G28" s="240">
        <v>2.8</v>
      </c>
      <c r="H28" s="240">
        <f t="shared" si="12"/>
        <v>72800</v>
      </c>
      <c r="I28" s="831"/>
      <c r="J28" s="845"/>
      <c r="K28" s="831"/>
      <c r="L28" s="831"/>
      <c r="M28" s="823"/>
      <c r="N28" s="823"/>
      <c r="O28" s="823"/>
      <c r="P28" s="823"/>
      <c r="Q28" s="253" t="s">
        <v>56</v>
      </c>
      <c r="R28" s="254">
        <v>231033</v>
      </c>
      <c r="S28" s="255">
        <v>699867789</v>
      </c>
      <c r="T28" s="822"/>
      <c r="U28" s="144" t="s">
        <v>81</v>
      </c>
    </row>
    <row r="29" spans="1:21" ht="18" customHeight="1">
      <c r="A29" s="144">
        <v>9</v>
      </c>
      <c r="B29" s="244">
        <v>42678</v>
      </c>
      <c r="C29" s="243" t="s">
        <v>66</v>
      </c>
      <c r="D29" s="150" t="s">
        <v>67</v>
      </c>
      <c r="E29" s="243">
        <v>3679964</v>
      </c>
      <c r="F29" s="238">
        <v>26000</v>
      </c>
      <c r="G29" s="239">
        <v>2.8</v>
      </c>
      <c r="H29" s="239">
        <f t="shared" si="12"/>
        <v>72800</v>
      </c>
      <c r="I29" s="830">
        <f>SUM(H29:H32)</f>
        <v>291200</v>
      </c>
      <c r="J29" s="843">
        <v>42696</v>
      </c>
      <c r="K29" s="830">
        <f>I29-L29</f>
        <v>12</v>
      </c>
      <c r="L29" s="830">
        <v>291188</v>
      </c>
      <c r="M29" s="821">
        <v>22480</v>
      </c>
      <c r="N29" s="821">
        <f>L29*M29</f>
        <v>6545906240</v>
      </c>
      <c r="O29" s="821">
        <v>3582288</v>
      </c>
      <c r="P29" s="821">
        <f>N29-O29</f>
        <v>6542323952</v>
      </c>
      <c r="Q29" s="253" t="s">
        <v>142</v>
      </c>
      <c r="R29" s="254">
        <v>1450020</v>
      </c>
      <c r="S29" s="255">
        <v>4394000000</v>
      </c>
      <c r="T29" s="822"/>
      <c r="U29" s="144" t="s">
        <v>108</v>
      </c>
    </row>
    <row r="30" spans="1:21" ht="18" customHeight="1">
      <c r="A30" s="144">
        <v>10</v>
      </c>
      <c r="B30" s="244">
        <v>42678</v>
      </c>
      <c r="C30" s="243" t="s">
        <v>66</v>
      </c>
      <c r="D30" s="243" t="s">
        <v>68</v>
      </c>
      <c r="E30" s="243">
        <v>3679968</v>
      </c>
      <c r="F30" s="238">
        <v>26000</v>
      </c>
      <c r="G30" s="239">
        <v>2.8</v>
      </c>
      <c r="H30" s="239">
        <f t="shared" si="12"/>
        <v>72800</v>
      </c>
      <c r="I30" s="842"/>
      <c r="J30" s="844"/>
      <c r="K30" s="842"/>
      <c r="L30" s="842"/>
      <c r="M30" s="822"/>
      <c r="N30" s="822"/>
      <c r="O30" s="822"/>
      <c r="P30" s="822"/>
      <c r="Q30" s="253" t="s">
        <v>149</v>
      </c>
      <c r="R30" s="254">
        <v>133243</v>
      </c>
      <c r="S30" s="255">
        <v>403767000</v>
      </c>
      <c r="T30" s="822"/>
      <c r="U30" s="144" t="s">
        <v>108</v>
      </c>
    </row>
    <row r="31" spans="1:21" ht="18" customHeight="1">
      <c r="A31" s="144">
        <v>11</v>
      </c>
      <c r="B31" s="244">
        <v>42678</v>
      </c>
      <c r="C31" s="243" t="s">
        <v>66</v>
      </c>
      <c r="D31" s="245" t="s">
        <v>69</v>
      </c>
      <c r="E31" s="243">
        <v>3679957</v>
      </c>
      <c r="F31" s="238">
        <v>26000</v>
      </c>
      <c r="G31" s="239">
        <v>2.8</v>
      </c>
      <c r="H31" s="239">
        <f t="shared" ref="H31:H32" si="13">F31*G31</f>
        <v>72800</v>
      </c>
      <c r="I31" s="842"/>
      <c r="J31" s="844"/>
      <c r="K31" s="842"/>
      <c r="L31" s="842"/>
      <c r="M31" s="822"/>
      <c r="N31" s="822"/>
      <c r="O31" s="822"/>
      <c r="P31" s="822"/>
      <c r="Q31" s="253" t="s">
        <v>150</v>
      </c>
      <c r="R31" s="254">
        <v>142501</v>
      </c>
      <c r="S31" s="255">
        <v>431821000</v>
      </c>
      <c r="T31" s="822"/>
      <c r="U31" s="144" t="s">
        <v>81</v>
      </c>
    </row>
    <row r="32" spans="1:21" ht="18" customHeight="1">
      <c r="A32" s="144">
        <v>12</v>
      </c>
      <c r="B32" s="244">
        <v>42678</v>
      </c>
      <c r="C32" s="243" t="s">
        <v>66</v>
      </c>
      <c r="D32" s="243" t="s">
        <v>70</v>
      </c>
      <c r="E32" s="243">
        <v>3679951</v>
      </c>
      <c r="F32" s="238">
        <v>26000</v>
      </c>
      <c r="G32" s="239">
        <v>2.8</v>
      </c>
      <c r="H32" s="239">
        <f t="shared" si="13"/>
        <v>72800</v>
      </c>
      <c r="I32" s="831"/>
      <c r="J32" s="845"/>
      <c r="K32" s="831"/>
      <c r="L32" s="831"/>
      <c r="M32" s="823"/>
      <c r="N32" s="823"/>
      <c r="O32" s="823"/>
      <c r="P32" s="823"/>
      <c r="Q32" s="253" t="s">
        <v>56</v>
      </c>
      <c r="R32" s="254">
        <v>298421</v>
      </c>
      <c r="S32" s="255">
        <v>904008247</v>
      </c>
      <c r="T32" s="823"/>
      <c r="U32" s="144" t="s">
        <v>81</v>
      </c>
    </row>
    <row r="33" spans="1:21" ht="18" customHeight="1">
      <c r="A33" s="144">
        <v>13</v>
      </c>
      <c r="B33" s="244">
        <v>42682</v>
      </c>
      <c r="C33" s="243" t="s">
        <v>166</v>
      </c>
      <c r="D33" s="243" t="s">
        <v>71</v>
      </c>
      <c r="E33" s="243" t="s">
        <v>73</v>
      </c>
      <c r="F33" s="238">
        <v>26000</v>
      </c>
      <c r="G33" s="239">
        <v>2.8</v>
      </c>
      <c r="H33" s="239">
        <f t="shared" ref="H33:H34" si="14">F33*G33</f>
        <v>72800</v>
      </c>
      <c r="I33" s="830">
        <f>H33+H34</f>
        <v>145600</v>
      </c>
      <c r="J33" s="843">
        <v>42699</v>
      </c>
      <c r="K33" s="830">
        <f>I33-L33</f>
        <v>12</v>
      </c>
      <c r="L33" s="830">
        <v>145588</v>
      </c>
      <c r="M33" s="821">
        <v>22660</v>
      </c>
      <c r="N33" s="821">
        <f t="shared" ref="N33:N37" si="15">L33*M33</f>
        <v>3299024080</v>
      </c>
      <c r="O33" s="821">
        <v>1819968</v>
      </c>
      <c r="P33" s="821">
        <f t="shared" ref="P33:P37" si="16">N33-O33</f>
        <v>3297204112</v>
      </c>
      <c r="Q33" s="256" t="s">
        <v>152</v>
      </c>
      <c r="R33" s="254">
        <v>475585</v>
      </c>
      <c r="S33" s="255">
        <v>1441167000</v>
      </c>
      <c r="T33" s="865">
        <v>210184716</v>
      </c>
      <c r="U33" s="144" t="s">
        <v>108</v>
      </c>
    </row>
    <row r="34" spans="1:21" ht="18" customHeight="1">
      <c r="A34" s="144">
        <v>14</v>
      </c>
      <c r="B34" s="244">
        <v>42682</v>
      </c>
      <c r="C34" s="243" t="s">
        <v>166</v>
      </c>
      <c r="D34" s="243" t="s">
        <v>72</v>
      </c>
      <c r="E34" s="243" t="s">
        <v>74</v>
      </c>
      <c r="F34" s="238">
        <v>26000</v>
      </c>
      <c r="G34" s="239">
        <v>2.8</v>
      </c>
      <c r="H34" s="239">
        <f t="shared" si="14"/>
        <v>72800</v>
      </c>
      <c r="I34" s="842"/>
      <c r="J34" s="844"/>
      <c r="K34" s="842"/>
      <c r="L34" s="842"/>
      <c r="M34" s="822"/>
      <c r="N34" s="822"/>
      <c r="O34" s="822"/>
      <c r="P34" s="822"/>
      <c r="Q34" s="256" t="s">
        <v>153</v>
      </c>
      <c r="R34" s="254">
        <v>178679</v>
      </c>
      <c r="S34" s="255">
        <v>541450000</v>
      </c>
      <c r="T34" s="865"/>
      <c r="U34" s="144" t="s">
        <v>108</v>
      </c>
    </row>
    <row r="35" spans="1:21" ht="18" customHeight="1">
      <c r="A35" s="144"/>
      <c r="B35" s="244"/>
      <c r="C35" s="243"/>
      <c r="D35" s="243"/>
      <c r="E35" s="243"/>
      <c r="F35" s="242"/>
      <c r="G35" s="240"/>
      <c r="H35" s="240"/>
      <c r="I35" s="842"/>
      <c r="J35" s="844"/>
      <c r="K35" s="842"/>
      <c r="L35" s="842"/>
      <c r="M35" s="822"/>
      <c r="N35" s="822"/>
      <c r="O35" s="822"/>
      <c r="P35" s="822"/>
      <c r="Q35" s="253" t="s">
        <v>55</v>
      </c>
      <c r="R35" s="254">
        <v>351889</v>
      </c>
      <c r="S35" s="255">
        <v>1066331000</v>
      </c>
      <c r="T35" s="865"/>
      <c r="U35" s="144"/>
    </row>
    <row r="36" spans="1:21" ht="18" customHeight="1">
      <c r="A36" s="144"/>
      <c r="B36" s="244"/>
      <c r="C36" s="243"/>
      <c r="D36" s="243"/>
      <c r="E36" s="243"/>
      <c r="F36" s="242"/>
      <c r="G36" s="240"/>
      <c r="H36" s="240"/>
      <c r="I36" s="831"/>
      <c r="J36" s="845"/>
      <c r="K36" s="831"/>
      <c r="L36" s="831"/>
      <c r="M36" s="823"/>
      <c r="N36" s="823"/>
      <c r="O36" s="823"/>
      <c r="P36" s="823"/>
      <c r="Q36" s="253" t="s">
        <v>56</v>
      </c>
      <c r="R36" s="254">
        <v>81592</v>
      </c>
      <c r="S36" s="255">
        <v>247168367</v>
      </c>
      <c r="T36" s="865"/>
      <c r="U36" s="144"/>
    </row>
    <row r="37" spans="1:21" ht="18" customHeight="1">
      <c r="A37" s="144">
        <v>15</v>
      </c>
      <c r="B37" s="244">
        <v>42684</v>
      </c>
      <c r="C37" s="243" t="s">
        <v>165</v>
      </c>
      <c r="D37" s="243" t="s">
        <v>132</v>
      </c>
      <c r="E37" s="243">
        <v>3756229</v>
      </c>
      <c r="F37" s="238">
        <v>26000</v>
      </c>
      <c r="G37" s="239">
        <v>2.8</v>
      </c>
      <c r="H37" s="239">
        <f t="shared" si="2"/>
        <v>72800</v>
      </c>
      <c r="I37" s="831">
        <f>H37+H38</f>
        <v>145600</v>
      </c>
      <c r="J37" s="845">
        <v>42703</v>
      </c>
      <c r="K37" s="866">
        <f>I37-L37</f>
        <v>12</v>
      </c>
      <c r="L37" s="866">
        <v>145588</v>
      </c>
      <c r="M37" s="821">
        <v>22620</v>
      </c>
      <c r="N37" s="865">
        <f t="shared" si="15"/>
        <v>3293200560</v>
      </c>
      <c r="O37" s="865">
        <v>1825573</v>
      </c>
      <c r="P37" s="823">
        <f t="shared" si="16"/>
        <v>3291374987</v>
      </c>
      <c r="Q37" s="256" t="s">
        <v>152</v>
      </c>
      <c r="R37" s="254">
        <v>497640</v>
      </c>
      <c r="S37" s="255">
        <v>1508000000</v>
      </c>
      <c r="T37" s="865"/>
      <c r="U37" s="144" t="s">
        <v>108</v>
      </c>
    </row>
    <row r="38" spans="1:21" ht="18" customHeight="1">
      <c r="A38" s="144">
        <v>16</v>
      </c>
      <c r="B38" s="244">
        <v>42685</v>
      </c>
      <c r="C38" s="243" t="s">
        <v>165</v>
      </c>
      <c r="D38" s="243" t="s">
        <v>133</v>
      </c>
      <c r="E38" s="243">
        <v>3756225</v>
      </c>
      <c r="F38" s="238">
        <v>26000</v>
      </c>
      <c r="G38" s="239">
        <v>2.8</v>
      </c>
      <c r="H38" s="239">
        <f t="shared" si="2"/>
        <v>72800</v>
      </c>
      <c r="I38" s="866"/>
      <c r="J38" s="867"/>
      <c r="K38" s="866"/>
      <c r="L38" s="866"/>
      <c r="M38" s="823"/>
      <c r="N38" s="865"/>
      <c r="O38" s="865"/>
      <c r="P38" s="865"/>
      <c r="Q38" s="253" t="s">
        <v>142</v>
      </c>
      <c r="R38" s="254">
        <v>552453</v>
      </c>
      <c r="S38" s="255">
        <v>1674100000</v>
      </c>
      <c r="T38" s="865"/>
      <c r="U38" s="144" t="s">
        <v>108</v>
      </c>
    </row>
    <row r="39" spans="1:21" ht="18" customHeight="1">
      <c r="A39" s="144">
        <v>17</v>
      </c>
      <c r="B39" s="244">
        <v>42690</v>
      </c>
      <c r="C39" s="243" t="s">
        <v>164</v>
      </c>
      <c r="D39" s="243" t="s">
        <v>134</v>
      </c>
      <c r="E39" s="243" t="s">
        <v>136</v>
      </c>
      <c r="F39" s="238">
        <v>26000</v>
      </c>
      <c r="G39" s="239">
        <v>2.8</v>
      </c>
      <c r="H39" s="239">
        <f t="shared" si="2"/>
        <v>72800</v>
      </c>
      <c r="I39" s="830">
        <f>SUM(H39:H42)</f>
        <v>291200</v>
      </c>
      <c r="J39" s="843">
        <v>42711</v>
      </c>
      <c r="K39" s="830">
        <f>I39-L39</f>
        <v>12</v>
      </c>
      <c r="L39" s="830">
        <v>291188</v>
      </c>
      <c r="M39" s="821">
        <v>22650</v>
      </c>
      <c r="N39" s="821">
        <f>L39*M39</f>
        <v>6595408200</v>
      </c>
      <c r="O39" s="821">
        <v>3651146</v>
      </c>
      <c r="P39" s="821">
        <f>N39-O39</f>
        <v>6591757054</v>
      </c>
      <c r="Q39" s="253" t="s">
        <v>142</v>
      </c>
      <c r="R39" s="254">
        <v>963198</v>
      </c>
      <c r="S39" s="255">
        <v>2918780500</v>
      </c>
      <c r="T39" s="865">
        <v>408498824</v>
      </c>
      <c r="U39" s="144" t="s">
        <v>108</v>
      </c>
    </row>
    <row r="40" spans="1:21" ht="18" customHeight="1">
      <c r="A40" s="144">
        <v>18</v>
      </c>
      <c r="B40" s="244">
        <v>42690</v>
      </c>
      <c r="C40" s="243" t="s">
        <v>164</v>
      </c>
      <c r="D40" s="243" t="s">
        <v>135</v>
      </c>
      <c r="E40" s="243" t="s">
        <v>137</v>
      </c>
      <c r="F40" s="238">
        <v>26000</v>
      </c>
      <c r="G40" s="239">
        <v>2.8</v>
      </c>
      <c r="H40" s="239">
        <f t="shared" si="2"/>
        <v>72800</v>
      </c>
      <c r="I40" s="842"/>
      <c r="J40" s="844"/>
      <c r="K40" s="842"/>
      <c r="L40" s="842"/>
      <c r="M40" s="822"/>
      <c r="N40" s="822"/>
      <c r="O40" s="822"/>
      <c r="P40" s="822"/>
      <c r="Q40" s="256" t="s">
        <v>152</v>
      </c>
      <c r="R40" s="254">
        <v>602224</v>
      </c>
      <c r="S40" s="255">
        <v>1824920500</v>
      </c>
      <c r="T40" s="865"/>
      <c r="U40" s="144" t="s">
        <v>108</v>
      </c>
    </row>
    <row r="41" spans="1:21" ht="18" customHeight="1">
      <c r="A41" s="144">
        <v>19</v>
      </c>
      <c r="B41" s="244">
        <v>42691</v>
      </c>
      <c r="C41" s="243" t="s">
        <v>140</v>
      </c>
      <c r="D41" s="243" t="s">
        <v>138</v>
      </c>
      <c r="E41" s="243">
        <v>3756238</v>
      </c>
      <c r="F41" s="238">
        <v>26000</v>
      </c>
      <c r="G41" s="239">
        <v>2.8</v>
      </c>
      <c r="H41" s="239">
        <f t="shared" si="2"/>
        <v>72800</v>
      </c>
      <c r="I41" s="842"/>
      <c r="J41" s="844"/>
      <c r="K41" s="842"/>
      <c r="L41" s="842"/>
      <c r="M41" s="822"/>
      <c r="N41" s="822"/>
      <c r="O41" s="822"/>
      <c r="P41" s="822"/>
      <c r="Q41" s="256" t="s">
        <v>153</v>
      </c>
      <c r="R41" s="254">
        <v>182381</v>
      </c>
      <c r="S41" s="255">
        <v>552669000</v>
      </c>
      <c r="T41" s="865"/>
      <c r="U41" s="144" t="s">
        <v>108</v>
      </c>
    </row>
    <row r="42" spans="1:21" ht="18" customHeight="1">
      <c r="A42" s="144">
        <v>20</v>
      </c>
      <c r="B42" s="244">
        <v>42691</v>
      </c>
      <c r="C42" s="243" t="s">
        <v>140</v>
      </c>
      <c r="D42" s="243" t="s">
        <v>139</v>
      </c>
      <c r="E42" s="243">
        <v>3743082</v>
      </c>
      <c r="F42" s="238">
        <v>26000</v>
      </c>
      <c r="G42" s="239">
        <v>2.8</v>
      </c>
      <c r="H42" s="239">
        <f t="shared" si="2"/>
        <v>72800</v>
      </c>
      <c r="I42" s="831"/>
      <c r="J42" s="845"/>
      <c r="K42" s="831"/>
      <c r="L42" s="831"/>
      <c r="M42" s="823"/>
      <c r="N42" s="823"/>
      <c r="O42" s="823"/>
      <c r="P42" s="823"/>
      <c r="Q42" s="253" t="s">
        <v>56</v>
      </c>
      <c r="R42" s="254">
        <v>224782.55613005161</v>
      </c>
      <c r="S42" s="255">
        <v>480934478.44387001</v>
      </c>
      <c r="T42" s="865"/>
      <c r="U42" s="144" t="s">
        <v>108</v>
      </c>
    </row>
    <row r="43" spans="1:21" ht="18" customHeight="1">
      <c r="A43" s="144">
        <v>21</v>
      </c>
      <c r="B43" s="244">
        <v>42699</v>
      </c>
      <c r="C43" s="243" t="s">
        <v>154</v>
      </c>
      <c r="D43" s="243" t="s">
        <v>155</v>
      </c>
      <c r="E43" s="243" t="s">
        <v>159</v>
      </c>
      <c r="F43" s="238">
        <v>26000</v>
      </c>
      <c r="G43" s="239">
        <v>2.8</v>
      </c>
      <c r="H43" s="239">
        <f t="shared" ref="H43:H45" si="17">F43*G43</f>
        <v>72800</v>
      </c>
      <c r="I43" s="830">
        <f>SUM(H43:H47)</f>
        <v>291200</v>
      </c>
      <c r="J43" s="843">
        <v>42717</v>
      </c>
      <c r="K43" s="830">
        <f>I43-L43</f>
        <v>12</v>
      </c>
      <c r="L43" s="830">
        <v>291188</v>
      </c>
      <c r="M43" s="821">
        <v>22620</v>
      </c>
      <c r="N43" s="821">
        <f>L43*M43</f>
        <v>6586672560</v>
      </c>
      <c r="O43" s="821">
        <v>3651146</v>
      </c>
      <c r="P43" s="821">
        <f t="shared" ref="P43" si="18">N43-O43</f>
        <v>6583021414</v>
      </c>
      <c r="Q43" s="253" t="s">
        <v>142</v>
      </c>
      <c r="R43" s="254">
        <v>476190</v>
      </c>
      <c r="S43" s="255">
        <v>1443000000</v>
      </c>
      <c r="T43" s="865"/>
      <c r="U43" s="144" t="s">
        <v>163</v>
      </c>
    </row>
    <row r="44" spans="1:21" ht="18" customHeight="1">
      <c r="A44" s="144">
        <v>22</v>
      </c>
      <c r="B44" s="244">
        <v>42699</v>
      </c>
      <c r="C44" s="243" t="s">
        <v>154</v>
      </c>
      <c r="D44" s="243" t="s">
        <v>156</v>
      </c>
      <c r="E44" s="243" t="s">
        <v>160</v>
      </c>
      <c r="F44" s="238">
        <v>26000</v>
      </c>
      <c r="G44" s="239">
        <v>2.8</v>
      </c>
      <c r="H44" s="239">
        <f t="shared" si="17"/>
        <v>72800</v>
      </c>
      <c r="I44" s="842"/>
      <c r="J44" s="844"/>
      <c r="K44" s="842"/>
      <c r="L44" s="842"/>
      <c r="M44" s="822"/>
      <c r="N44" s="822"/>
      <c r="O44" s="822"/>
      <c r="P44" s="822"/>
      <c r="Q44" s="256" t="s">
        <v>152</v>
      </c>
      <c r="R44" s="254">
        <v>321557</v>
      </c>
      <c r="S44" s="255">
        <v>974415000</v>
      </c>
      <c r="T44" s="865"/>
      <c r="U44" s="144" t="s">
        <v>163</v>
      </c>
    </row>
    <row r="45" spans="1:21" ht="18" customHeight="1">
      <c r="A45" s="144">
        <v>23</v>
      </c>
      <c r="B45" s="244">
        <v>42699</v>
      </c>
      <c r="C45" s="243" t="s">
        <v>154</v>
      </c>
      <c r="D45" s="243" t="s">
        <v>157</v>
      </c>
      <c r="E45" s="243" t="s">
        <v>161</v>
      </c>
      <c r="F45" s="238">
        <v>26000</v>
      </c>
      <c r="G45" s="239">
        <v>2.8</v>
      </c>
      <c r="H45" s="239">
        <f t="shared" si="17"/>
        <v>72800</v>
      </c>
      <c r="I45" s="842"/>
      <c r="J45" s="844"/>
      <c r="K45" s="842"/>
      <c r="L45" s="842"/>
      <c r="M45" s="822"/>
      <c r="N45" s="822"/>
      <c r="O45" s="822"/>
      <c r="P45" s="822"/>
      <c r="Q45" s="256" t="s">
        <v>149</v>
      </c>
      <c r="R45" s="254">
        <v>155513</v>
      </c>
      <c r="S45" s="255">
        <v>471250000</v>
      </c>
      <c r="T45" s="865"/>
      <c r="U45" s="144" t="s">
        <v>108</v>
      </c>
    </row>
    <row r="46" spans="1:21" ht="18" customHeight="1">
      <c r="A46" s="144">
        <v>24</v>
      </c>
      <c r="B46" s="244">
        <v>42699</v>
      </c>
      <c r="C46" s="243" t="s">
        <v>154</v>
      </c>
      <c r="D46" s="243" t="s">
        <v>158</v>
      </c>
      <c r="E46" s="243" t="s">
        <v>162</v>
      </c>
      <c r="F46" s="242">
        <v>26000</v>
      </c>
      <c r="G46" s="240">
        <v>2.8</v>
      </c>
      <c r="H46" s="240">
        <f t="shared" ref="H46" si="19">F46*G46</f>
        <v>72800</v>
      </c>
      <c r="I46" s="842"/>
      <c r="J46" s="844"/>
      <c r="K46" s="842"/>
      <c r="L46" s="842"/>
      <c r="M46" s="822"/>
      <c r="N46" s="822"/>
      <c r="O46" s="822"/>
      <c r="P46" s="822"/>
      <c r="Q46" s="256" t="s">
        <v>227</v>
      </c>
      <c r="R46" s="254">
        <v>97190</v>
      </c>
      <c r="S46" s="255">
        <v>294515000</v>
      </c>
      <c r="T46" s="865"/>
      <c r="U46" s="144"/>
    </row>
    <row r="47" spans="1:21" ht="18" customHeight="1">
      <c r="A47" s="144"/>
      <c r="B47" s="244"/>
      <c r="C47" s="243"/>
      <c r="D47" s="243"/>
      <c r="E47" s="243"/>
      <c r="F47" s="238"/>
      <c r="G47" s="239"/>
      <c r="H47" s="239"/>
      <c r="I47" s="831"/>
      <c r="J47" s="845"/>
      <c r="K47" s="831"/>
      <c r="L47" s="831"/>
      <c r="M47" s="823"/>
      <c r="N47" s="823"/>
      <c r="O47" s="823"/>
      <c r="P47" s="823"/>
      <c r="Q47" s="253" t="s">
        <v>56</v>
      </c>
      <c r="R47" s="254">
        <v>897991</v>
      </c>
      <c r="S47" s="255">
        <v>2721185000</v>
      </c>
      <c r="T47" s="865"/>
      <c r="U47" s="144" t="s">
        <v>108</v>
      </c>
    </row>
    <row r="48" spans="1:21" ht="18" customHeight="1">
      <c r="A48" s="144">
        <v>25</v>
      </c>
      <c r="B48" s="244">
        <v>42702</v>
      </c>
      <c r="C48" s="243" t="s">
        <v>167</v>
      </c>
      <c r="D48" s="243" t="s">
        <v>168</v>
      </c>
      <c r="E48" s="243" t="s">
        <v>172</v>
      </c>
      <c r="F48" s="238">
        <v>26000</v>
      </c>
      <c r="G48" s="239">
        <v>2.8</v>
      </c>
      <c r="H48" s="239">
        <f t="shared" ref="H48:H50" si="20">F48*G48</f>
        <v>72800</v>
      </c>
      <c r="I48" s="830">
        <f>SUM(H48:H53)</f>
        <v>291200</v>
      </c>
      <c r="J48" s="843">
        <v>42723</v>
      </c>
      <c r="K48" s="830">
        <f>I48-L48</f>
        <v>117</v>
      </c>
      <c r="L48" s="830">
        <v>291083</v>
      </c>
      <c r="M48" s="821">
        <v>22620</v>
      </c>
      <c r="N48" s="821">
        <f>L48*M48</f>
        <v>6584297460</v>
      </c>
      <c r="O48" s="821"/>
      <c r="P48" s="821">
        <f t="shared" ref="P48" si="21">N48-O48</f>
        <v>6584297460</v>
      </c>
      <c r="Q48" s="253" t="s">
        <v>142</v>
      </c>
      <c r="R48" s="254">
        <v>577777</v>
      </c>
      <c r="S48" s="255">
        <v>1050504000</v>
      </c>
      <c r="T48" s="865">
        <v>420704884</v>
      </c>
      <c r="U48" s="144" t="s">
        <v>163</v>
      </c>
    </row>
    <row r="49" spans="1:21" ht="18" customHeight="1">
      <c r="A49" s="144">
        <v>26</v>
      </c>
      <c r="B49" s="244">
        <v>42702</v>
      </c>
      <c r="C49" s="243" t="s">
        <v>167</v>
      </c>
      <c r="D49" s="243" t="s">
        <v>169</v>
      </c>
      <c r="E49" s="243" t="s">
        <v>173</v>
      </c>
      <c r="F49" s="238">
        <v>26000</v>
      </c>
      <c r="G49" s="239">
        <v>2.8</v>
      </c>
      <c r="H49" s="239">
        <f t="shared" si="20"/>
        <v>72800</v>
      </c>
      <c r="I49" s="842"/>
      <c r="J49" s="844"/>
      <c r="K49" s="842"/>
      <c r="L49" s="842"/>
      <c r="M49" s="822"/>
      <c r="N49" s="822"/>
      <c r="O49" s="822"/>
      <c r="P49" s="822"/>
      <c r="Q49" s="256" t="s">
        <v>149</v>
      </c>
      <c r="R49" s="254">
        <v>158498</v>
      </c>
      <c r="S49" s="255">
        <v>480298000</v>
      </c>
      <c r="T49" s="865"/>
      <c r="U49" s="144" t="s">
        <v>108</v>
      </c>
    </row>
    <row r="50" spans="1:21" ht="18" customHeight="1">
      <c r="A50" s="144">
        <v>27</v>
      </c>
      <c r="B50" s="244">
        <v>42702</v>
      </c>
      <c r="C50" s="243" t="s">
        <v>167</v>
      </c>
      <c r="D50" s="243" t="s">
        <v>170</v>
      </c>
      <c r="E50" s="243" t="s">
        <v>174</v>
      </c>
      <c r="F50" s="238">
        <v>26000</v>
      </c>
      <c r="G50" s="239">
        <v>2.8</v>
      </c>
      <c r="H50" s="239">
        <f t="shared" si="20"/>
        <v>72800</v>
      </c>
      <c r="I50" s="842"/>
      <c r="J50" s="844"/>
      <c r="K50" s="842"/>
      <c r="L50" s="842"/>
      <c r="M50" s="822"/>
      <c r="N50" s="822"/>
      <c r="O50" s="822"/>
      <c r="P50" s="822"/>
      <c r="Q50" s="256" t="s">
        <v>279</v>
      </c>
      <c r="R50" s="254">
        <v>221450</v>
      </c>
      <c r="S50" s="255">
        <v>671060000</v>
      </c>
      <c r="T50" s="865"/>
      <c r="U50" s="144" t="s">
        <v>81</v>
      </c>
    </row>
    <row r="51" spans="1:21" ht="18" customHeight="1">
      <c r="A51" s="144">
        <v>28</v>
      </c>
      <c r="B51" s="244">
        <v>42702</v>
      </c>
      <c r="C51" s="243" t="s">
        <v>167</v>
      </c>
      <c r="D51" s="243" t="s">
        <v>171</v>
      </c>
      <c r="E51" s="243" t="s">
        <v>175</v>
      </c>
      <c r="F51" s="242">
        <v>26000</v>
      </c>
      <c r="G51" s="240">
        <v>2.8</v>
      </c>
      <c r="H51" s="240">
        <f t="shared" ref="H51" si="22">F51*G51</f>
        <v>72800</v>
      </c>
      <c r="I51" s="842"/>
      <c r="J51" s="844"/>
      <c r="K51" s="842"/>
      <c r="L51" s="842"/>
      <c r="M51" s="822"/>
      <c r="N51" s="822"/>
      <c r="O51" s="822"/>
      <c r="P51" s="822"/>
      <c r="Q51" s="256" t="s">
        <v>55</v>
      </c>
      <c r="R51" s="254">
        <v>701499</v>
      </c>
      <c r="S51" s="255">
        <v>2125756000</v>
      </c>
      <c r="T51" s="865"/>
      <c r="U51" s="144"/>
    </row>
    <row r="52" spans="1:21" ht="18" customHeight="1">
      <c r="A52" s="144"/>
      <c r="B52" s="244"/>
      <c r="C52" s="243"/>
      <c r="D52" s="243"/>
      <c r="E52" s="243"/>
      <c r="F52" s="242"/>
      <c r="G52" s="240"/>
      <c r="H52" s="240"/>
      <c r="I52" s="842"/>
      <c r="J52" s="844"/>
      <c r="K52" s="842"/>
      <c r="L52" s="842"/>
      <c r="M52" s="822"/>
      <c r="N52" s="822"/>
      <c r="O52" s="822"/>
      <c r="P52" s="822"/>
      <c r="Q52" s="256" t="s">
        <v>280</v>
      </c>
      <c r="R52" s="254">
        <v>141021</v>
      </c>
      <c r="S52" s="255">
        <v>427336000</v>
      </c>
      <c r="T52" s="865"/>
      <c r="U52" s="144"/>
    </row>
    <row r="53" spans="1:21" ht="18" customHeight="1">
      <c r="A53" s="144"/>
      <c r="B53" s="244"/>
      <c r="C53" s="243"/>
      <c r="D53" s="243"/>
      <c r="E53" s="243"/>
      <c r="F53" s="238"/>
      <c r="G53" s="239"/>
      <c r="H53" s="239"/>
      <c r="I53" s="831"/>
      <c r="J53" s="845"/>
      <c r="K53" s="831"/>
      <c r="L53" s="831"/>
      <c r="M53" s="823"/>
      <c r="N53" s="823"/>
      <c r="O53" s="823"/>
      <c r="P53" s="823"/>
      <c r="Q53" s="253" t="s">
        <v>56</v>
      </c>
      <c r="R53" s="254">
        <v>412914</v>
      </c>
      <c r="S53" s="255">
        <v>1251254000</v>
      </c>
      <c r="T53" s="865"/>
      <c r="U53" s="144" t="s">
        <v>81</v>
      </c>
    </row>
    <row r="54" spans="1:21" ht="18" customHeight="1">
      <c r="A54" s="144">
        <v>29</v>
      </c>
      <c r="B54" s="244">
        <v>42706</v>
      </c>
      <c r="C54" s="243" t="s">
        <v>228</v>
      </c>
      <c r="D54" s="245" t="s">
        <v>229</v>
      </c>
      <c r="E54" s="243" t="s">
        <v>230</v>
      </c>
      <c r="F54" s="238">
        <v>26000</v>
      </c>
      <c r="G54" s="239">
        <v>2.8</v>
      </c>
      <c r="H54" s="246">
        <f>F54*G54</f>
        <v>72800</v>
      </c>
      <c r="I54" s="830">
        <f>SUM(H54:H57)</f>
        <v>281840</v>
      </c>
      <c r="J54" s="843">
        <v>42725</v>
      </c>
      <c r="K54" s="830">
        <f>I54-L54</f>
        <v>117</v>
      </c>
      <c r="L54" s="830">
        <v>281723</v>
      </c>
      <c r="M54" s="821">
        <v>22650</v>
      </c>
      <c r="N54" s="821">
        <f>L54*M54</f>
        <v>6381025950</v>
      </c>
      <c r="O54" s="821"/>
      <c r="P54" s="821">
        <f t="shared" ref="P54" si="23">N54-O54</f>
        <v>6381025950</v>
      </c>
      <c r="Q54" s="253" t="s">
        <v>142</v>
      </c>
      <c r="R54" s="254">
        <v>812812</v>
      </c>
      <c r="S54" s="255">
        <v>1477840000</v>
      </c>
      <c r="T54" s="865"/>
      <c r="U54" s="144" t="s">
        <v>163</v>
      </c>
    </row>
    <row r="55" spans="1:21" ht="18" customHeight="1">
      <c r="A55" s="144">
        <v>30</v>
      </c>
      <c r="B55" s="244">
        <v>42706</v>
      </c>
      <c r="C55" s="243" t="s">
        <v>228</v>
      </c>
      <c r="D55" s="243" t="s">
        <v>231</v>
      </c>
      <c r="E55" s="243" t="s">
        <v>232</v>
      </c>
      <c r="F55" s="238">
        <v>26000</v>
      </c>
      <c r="G55" s="239">
        <v>2.68</v>
      </c>
      <c r="H55" s="246">
        <f>F55*G55</f>
        <v>69680</v>
      </c>
      <c r="I55" s="842"/>
      <c r="J55" s="844"/>
      <c r="K55" s="842"/>
      <c r="L55" s="842"/>
      <c r="M55" s="822"/>
      <c r="N55" s="822"/>
      <c r="O55" s="822"/>
      <c r="P55" s="822"/>
      <c r="Q55" s="256" t="s">
        <v>152</v>
      </c>
      <c r="R55" s="254">
        <v>482346</v>
      </c>
      <c r="S55" s="255">
        <v>876993000</v>
      </c>
      <c r="T55" s="865"/>
      <c r="U55" s="144" t="s">
        <v>163</v>
      </c>
    </row>
    <row r="56" spans="1:21" ht="18" customHeight="1">
      <c r="A56" s="144">
        <v>31</v>
      </c>
      <c r="B56" s="244">
        <v>42706</v>
      </c>
      <c r="C56" s="243" t="s">
        <v>228</v>
      </c>
      <c r="D56" s="243" t="s">
        <v>233</v>
      </c>
      <c r="E56" s="243" t="s">
        <v>234</v>
      </c>
      <c r="F56" s="238">
        <v>26000</v>
      </c>
      <c r="G56" s="239">
        <v>2.68</v>
      </c>
      <c r="H56" s="246">
        <f>F56*G56</f>
        <v>69680</v>
      </c>
      <c r="I56" s="842"/>
      <c r="J56" s="844"/>
      <c r="K56" s="842"/>
      <c r="L56" s="842"/>
      <c r="M56" s="822"/>
      <c r="N56" s="822"/>
      <c r="O56" s="822"/>
      <c r="P56" s="822"/>
      <c r="Q56" s="256" t="s">
        <v>131</v>
      </c>
      <c r="R56" s="254">
        <v>984083</v>
      </c>
      <c r="S56" s="255">
        <v>2982070000</v>
      </c>
      <c r="T56" s="865"/>
      <c r="U56" s="144" t="s">
        <v>163</v>
      </c>
    </row>
    <row r="57" spans="1:21" ht="18" customHeight="1">
      <c r="A57" s="144">
        <v>32</v>
      </c>
      <c r="B57" s="244">
        <v>42706</v>
      </c>
      <c r="C57" s="243" t="s">
        <v>228</v>
      </c>
      <c r="D57" s="243" t="s">
        <v>235</v>
      </c>
      <c r="E57" s="243" t="s">
        <v>236</v>
      </c>
      <c r="F57" s="238">
        <v>26000</v>
      </c>
      <c r="G57" s="239">
        <v>2.68</v>
      </c>
      <c r="H57" s="246">
        <f>F57*G57</f>
        <v>69680</v>
      </c>
      <c r="I57" s="831"/>
      <c r="J57" s="845"/>
      <c r="K57" s="831"/>
      <c r="L57" s="831"/>
      <c r="M57" s="823"/>
      <c r="N57" s="823"/>
      <c r="O57" s="823"/>
      <c r="P57" s="823"/>
      <c r="Q57" s="253" t="s">
        <v>56</v>
      </c>
      <c r="R57" s="254">
        <v>343695</v>
      </c>
      <c r="S57" s="255">
        <v>1041500000</v>
      </c>
      <c r="T57" s="865"/>
      <c r="U57" s="144" t="s">
        <v>108</v>
      </c>
    </row>
    <row r="58" spans="1:21" ht="18" customHeight="1">
      <c r="A58" s="144">
        <v>33</v>
      </c>
      <c r="B58" s="244">
        <v>42711</v>
      </c>
      <c r="C58" s="243" t="s">
        <v>237</v>
      </c>
      <c r="D58" s="243" t="s">
        <v>238</v>
      </c>
      <c r="E58" s="243">
        <v>4852784</v>
      </c>
      <c r="F58" s="238">
        <v>26351</v>
      </c>
      <c r="G58" s="239">
        <v>2.68</v>
      </c>
      <c r="H58" s="246">
        <f t="shared" ref="H58:H61" si="24">F58*G58</f>
        <v>70620.680000000008</v>
      </c>
      <c r="I58" s="830">
        <f>SUM(H58:H61)</f>
        <v>282482.72000000003</v>
      </c>
      <c r="J58" s="843">
        <v>42730</v>
      </c>
      <c r="K58" s="830">
        <f>I58-L58</f>
        <v>117.00000000005821</v>
      </c>
      <c r="L58" s="830">
        <v>282365.71999999997</v>
      </c>
      <c r="M58" s="821">
        <v>22650</v>
      </c>
      <c r="N58" s="821">
        <f>L58*M58</f>
        <v>6395583557.999999</v>
      </c>
      <c r="O58" s="821"/>
      <c r="P58" s="821">
        <f t="shared" ref="P58" si="25">N58-O58</f>
        <v>6395583557.999999</v>
      </c>
      <c r="Q58" s="253" t="s">
        <v>142</v>
      </c>
      <c r="R58" s="254">
        <v>120120</v>
      </c>
      <c r="S58" s="255">
        <v>218400000</v>
      </c>
      <c r="T58" s="865">
        <v>676708340</v>
      </c>
      <c r="U58" s="144" t="s">
        <v>163</v>
      </c>
    </row>
    <row r="59" spans="1:21" ht="18" customHeight="1">
      <c r="A59" s="144">
        <v>34</v>
      </c>
      <c r="B59" s="244">
        <v>42711</v>
      </c>
      <c r="C59" s="243" t="s">
        <v>237</v>
      </c>
      <c r="D59" s="243" t="s">
        <v>239</v>
      </c>
      <c r="E59" s="243">
        <v>4852733</v>
      </c>
      <c r="F59" s="238">
        <v>26351</v>
      </c>
      <c r="G59" s="239">
        <v>2.68</v>
      </c>
      <c r="H59" s="246">
        <f t="shared" si="24"/>
        <v>70620.680000000008</v>
      </c>
      <c r="I59" s="842"/>
      <c r="J59" s="844"/>
      <c r="K59" s="842"/>
      <c r="L59" s="842"/>
      <c r="M59" s="822"/>
      <c r="N59" s="822"/>
      <c r="O59" s="822"/>
      <c r="P59" s="822"/>
      <c r="Q59" s="256" t="s">
        <v>325</v>
      </c>
      <c r="R59" s="254">
        <v>15246</v>
      </c>
      <c r="S59" s="255">
        <v>27720000</v>
      </c>
      <c r="T59" s="865"/>
      <c r="U59" s="144" t="s">
        <v>163</v>
      </c>
    </row>
    <row r="60" spans="1:21" ht="18" customHeight="1">
      <c r="A60" s="144">
        <v>35</v>
      </c>
      <c r="B60" s="244">
        <v>42711</v>
      </c>
      <c r="C60" s="243" t="s">
        <v>237</v>
      </c>
      <c r="D60" s="243" t="s">
        <v>240</v>
      </c>
      <c r="E60" s="243">
        <v>4852701</v>
      </c>
      <c r="F60" s="238">
        <v>26351</v>
      </c>
      <c r="G60" s="239">
        <v>2.68</v>
      </c>
      <c r="H60" s="246">
        <f t="shared" si="24"/>
        <v>70620.680000000008</v>
      </c>
      <c r="I60" s="842"/>
      <c r="J60" s="844"/>
      <c r="K60" s="842"/>
      <c r="L60" s="842"/>
      <c r="M60" s="822"/>
      <c r="N60" s="822"/>
      <c r="O60" s="822"/>
      <c r="P60" s="822"/>
      <c r="Q60" s="256" t="s">
        <v>131</v>
      </c>
      <c r="R60" s="254">
        <v>647657</v>
      </c>
      <c r="S60" s="255">
        <v>1177559000</v>
      </c>
      <c r="T60" s="865"/>
      <c r="U60" s="144" t="s">
        <v>163</v>
      </c>
    </row>
    <row r="61" spans="1:21" ht="18" customHeight="1">
      <c r="A61" s="144">
        <v>36</v>
      </c>
      <c r="B61" s="244">
        <v>42711</v>
      </c>
      <c r="C61" s="243" t="s">
        <v>237</v>
      </c>
      <c r="D61" s="243" t="s">
        <v>241</v>
      </c>
      <c r="E61" s="243">
        <v>4852777</v>
      </c>
      <c r="F61" s="238">
        <v>26351</v>
      </c>
      <c r="G61" s="239">
        <v>2.68</v>
      </c>
      <c r="H61" s="246">
        <f t="shared" si="24"/>
        <v>70620.680000000008</v>
      </c>
      <c r="I61" s="831"/>
      <c r="J61" s="845"/>
      <c r="K61" s="831"/>
      <c r="L61" s="831"/>
      <c r="M61" s="823"/>
      <c r="N61" s="823"/>
      <c r="O61" s="823"/>
      <c r="P61" s="823"/>
      <c r="Q61" s="253" t="s">
        <v>56</v>
      </c>
      <c r="R61" s="254">
        <v>2403113</v>
      </c>
      <c r="S61" s="255">
        <v>4369297000</v>
      </c>
      <c r="T61" s="865"/>
      <c r="U61" s="144" t="s">
        <v>108</v>
      </c>
    </row>
    <row r="62" spans="1:21" ht="18" customHeight="1">
      <c r="A62" s="144">
        <v>37</v>
      </c>
      <c r="B62" s="244">
        <v>42713</v>
      </c>
      <c r="C62" s="243" t="s">
        <v>237</v>
      </c>
      <c r="D62" s="243" t="s">
        <v>242</v>
      </c>
      <c r="E62" s="243">
        <v>4865726</v>
      </c>
      <c r="F62" s="238">
        <v>26351</v>
      </c>
      <c r="G62" s="239">
        <v>2.68</v>
      </c>
      <c r="H62" s="246">
        <f t="shared" ref="H62:H65" si="26">F62*G62</f>
        <v>70620.680000000008</v>
      </c>
      <c r="I62" s="830">
        <f>H62+H63</f>
        <v>144200.68</v>
      </c>
      <c r="J62" s="843">
        <v>42742</v>
      </c>
      <c r="K62" s="830">
        <f>I62-L62</f>
        <v>12</v>
      </c>
      <c r="L62" s="830">
        <v>144188.68</v>
      </c>
      <c r="M62" s="821">
        <v>22480</v>
      </c>
      <c r="N62" s="865">
        <f t="shared" ref="N62" si="27">L62*M62</f>
        <v>3241361526.3999996</v>
      </c>
      <c r="O62" s="821">
        <v>1825573</v>
      </c>
      <c r="P62" s="823">
        <f t="shared" ref="P62" si="28">N62-O62</f>
        <v>3239535953.3999996</v>
      </c>
      <c r="Q62" s="253" t="s">
        <v>142</v>
      </c>
      <c r="R62" s="254">
        <v>296150</v>
      </c>
      <c r="S62" s="255">
        <v>329056000</v>
      </c>
      <c r="T62" s="865"/>
      <c r="U62" s="243" t="s">
        <v>108</v>
      </c>
    </row>
    <row r="63" spans="1:21" ht="18" customHeight="1">
      <c r="A63" s="144">
        <v>38</v>
      </c>
      <c r="B63" s="244">
        <v>42713</v>
      </c>
      <c r="C63" s="243" t="s">
        <v>237</v>
      </c>
      <c r="D63" s="243" t="s">
        <v>243</v>
      </c>
      <c r="E63" s="243">
        <v>4852764</v>
      </c>
      <c r="F63" s="247">
        <v>26000</v>
      </c>
      <c r="G63" s="246">
        <v>2.83</v>
      </c>
      <c r="H63" s="246">
        <f t="shared" si="26"/>
        <v>73580</v>
      </c>
      <c r="I63" s="831"/>
      <c r="J63" s="845"/>
      <c r="K63" s="831"/>
      <c r="L63" s="831"/>
      <c r="M63" s="823"/>
      <c r="N63" s="865"/>
      <c r="O63" s="823"/>
      <c r="P63" s="865"/>
      <c r="Q63" s="253" t="s">
        <v>56</v>
      </c>
      <c r="R63" s="254">
        <v>2422361</v>
      </c>
      <c r="S63" s="255">
        <v>2691512000</v>
      </c>
      <c r="T63" s="865"/>
      <c r="U63" s="243" t="s">
        <v>81</v>
      </c>
    </row>
    <row r="64" spans="1:21" ht="18" customHeight="1">
      <c r="A64" s="144">
        <v>39</v>
      </c>
      <c r="B64" s="244">
        <v>42713</v>
      </c>
      <c r="C64" s="243" t="s">
        <v>237</v>
      </c>
      <c r="D64" s="243" t="s">
        <v>244</v>
      </c>
      <c r="E64" s="243">
        <v>4849737</v>
      </c>
      <c r="F64" s="247">
        <v>26000</v>
      </c>
      <c r="G64" s="246">
        <v>2.83</v>
      </c>
      <c r="H64" s="246">
        <f t="shared" si="26"/>
        <v>73580</v>
      </c>
      <c r="I64" s="830">
        <f>SUM(H64:H67)</f>
        <v>294320</v>
      </c>
      <c r="J64" s="843">
        <v>42733</v>
      </c>
      <c r="K64" s="830">
        <f>I64-L64</f>
        <v>12</v>
      </c>
      <c r="L64" s="830">
        <v>294308</v>
      </c>
      <c r="M64" s="821">
        <v>22650</v>
      </c>
      <c r="N64" s="821">
        <f>L64*M64</f>
        <v>6666076200</v>
      </c>
      <c r="O64" s="821">
        <v>3651146</v>
      </c>
      <c r="P64" s="821">
        <f t="shared" ref="P64" si="29">N64-O64</f>
        <v>6662425054</v>
      </c>
      <c r="Q64" s="253" t="s">
        <v>142</v>
      </c>
      <c r="R64" s="254">
        <v>820069</v>
      </c>
      <c r="S64" s="255">
        <v>1491035000</v>
      </c>
      <c r="T64" s="865"/>
      <c r="U64" s="243" t="s">
        <v>81</v>
      </c>
    </row>
    <row r="65" spans="1:21" ht="18" customHeight="1">
      <c r="A65" s="144">
        <v>40</v>
      </c>
      <c r="B65" s="244">
        <v>42713</v>
      </c>
      <c r="C65" s="243" t="s">
        <v>237</v>
      </c>
      <c r="D65" s="243" t="s">
        <v>245</v>
      </c>
      <c r="E65" s="243">
        <v>4852756</v>
      </c>
      <c r="F65" s="247">
        <v>26000</v>
      </c>
      <c r="G65" s="246">
        <v>2.83</v>
      </c>
      <c r="H65" s="246">
        <f t="shared" si="26"/>
        <v>73580</v>
      </c>
      <c r="I65" s="842"/>
      <c r="J65" s="844"/>
      <c r="K65" s="842"/>
      <c r="L65" s="842"/>
      <c r="M65" s="822"/>
      <c r="N65" s="822"/>
      <c r="O65" s="822"/>
      <c r="P65" s="822"/>
      <c r="Q65" s="253" t="s">
        <v>56</v>
      </c>
      <c r="R65" s="254">
        <v>2786095</v>
      </c>
      <c r="S65" s="255">
        <v>5065628000</v>
      </c>
      <c r="T65" s="865"/>
      <c r="U65" s="243" t="s">
        <v>81</v>
      </c>
    </row>
    <row r="66" spans="1:21" ht="18" customHeight="1">
      <c r="A66" s="144">
        <v>41</v>
      </c>
      <c r="B66" s="244">
        <v>42713</v>
      </c>
      <c r="C66" s="243" t="s">
        <v>237</v>
      </c>
      <c r="D66" s="243" t="s">
        <v>246</v>
      </c>
      <c r="E66" s="243">
        <v>4852789</v>
      </c>
      <c r="F66" s="247">
        <v>26000</v>
      </c>
      <c r="G66" s="246">
        <v>2.83</v>
      </c>
      <c r="H66" s="246">
        <f t="shared" si="2"/>
        <v>73580</v>
      </c>
      <c r="I66" s="842"/>
      <c r="J66" s="844"/>
      <c r="K66" s="842"/>
      <c r="L66" s="842"/>
      <c r="M66" s="822"/>
      <c r="N66" s="822"/>
      <c r="O66" s="822"/>
      <c r="P66" s="822"/>
      <c r="Q66" s="247"/>
      <c r="R66" s="247"/>
      <c r="S66" s="247"/>
      <c r="T66" s="865"/>
      <c r="U66" s="243" t="s">
        <v>81</v>
      </c>
    </row>
    <row r="67" spans="1:21" ht="18" customHeight="1">
      <c r="A67" s="144">
        <v>42</v>
      </c>
      <c r="B67" s="244">
        <v>42713</v>
      </c>
      <c r="C67" s="243" t="s">
        <v>237</v>
      </c>
      <c r="D67" s="243" t="s">
        <v>247</v>
      </c>
      <c r="E67" s="243">
        <v>4862786</v>
      </c>
      <c r="F67" s="247">
        <v>26000</v>
      </c>
      <c r="G67" s="246">
        <v>2.83</v>
      </c>
      <c r="H67" s="246">
        <f t="shared" si="2"/>
        <v>73580</v>
      </c>
      <c r="I67" s="831"/>
      <c r="J67" s="845"/>
      <c r="K67" s="831"/>
      <c r="L67" s="831"/>
      <c r="M67" s="823"/>
      <c r="N67" s="823"/>
      <c r="O67" s="823"/>
      <c r="P67" s="823"/>
      <c r="Q67" s="247"/>
      <c r="R67" s="247"/>
      <c r="S67" s="247"/>
      <c r="T67" s="865"/>
      <c r="U67" s="243" t="s">
        <v>81</v>
      </c>
    </row>
    <row r="68" spans="1:21" ht="18" customHeight="1">
      <c r="A68" s="144">
        <v>43</v>
      </c>
      <c r="B68" s="244">
        <v>42716</v>
      </c>
      <c r="C68" s="243" t="s">
        <v>252</v>
      </c>
      <c r="D68" s="243" t="s">
        <v>248</v>
      </c>
      <c r="E68" s="243" t="s">
        <v>253</v>
      </c>
      <c r="F68" s="247">
        <v>26000</v>
      </c>
      <c r="G68" s="246">
        <v>2.83</v>
      </c>
      <c r="H68" s="246">
        <f t="shared" si="2"/>
        <v>73580</v>
      </c>
      <c r="I68" s="830">
        <f>SUM(H68:H71)</f>
        <v>294320</v>
      </c>
      <c r="J68" s="843">
        <v>42746</v>
      </c>
      <c r="K68" s="830">
        <f>I68-L68</f>
        <v>12</v>
      </c>
      <c r="L68" s="830">
        <v>294308</v>
      </c>
      <c r="M68" s="821">
        <v>22465</v>
      </c>
      <c r="N68" s="821">
        <f>L68*M68</f>
        <v>6611629220</v>
      </c>
      <c r="O68" s="821">
        <v>3651146</v>
      </c>
      <c r="P68" s="821">
        <f t="shared" ref="P68" si="30">N68-O68</f>
        <v>6607978074</v>
      </c>
      <c r="Q68" s="256" t="s">
        <v>55</v>
      </c>
      <c r="R68" s="254">
        <v>889727</v>
      </c>
      <c r="S68" s="255">
        <v>988585000</v>
      </c>
      <c r="T68" s="865"/>
      <c r="U68" s="144" t="s">
        <v>163</v>
      </c>
    </row>
    <row r="69" spans="1:21" ht="18" customHeight="1">
      <c r="A69" s="144">
        <v>44</v>
      </c>
      <c r="B69" s="244">
        <v>42716</v>
      </c>
      <c r="C69" s="243" t="s">
        <v>252</v>
      </c>
      <c r="D69" s="243" t="s">
        <v>249</v>
      </c>
      <c r="E69" s="243" t="s">
        <v>254</v>
      </c>
      <c r="F69" s="247">
        <v>26000</v>
      </c>
      <c r="G69" s="246">
        <v>2.83</v>
      </c>
      <c r="H69" s="246">
        <f t="shared" ref="H69:H101" si="31">F69*G69</f>
        <v>73580</v>
      </c>
      <c r="I69" s="842"/>
      <c r="J69" s="844"/>
      <c r="K69" s="842"/>
      <c r="L69" s="842"/>
      <c r="M69" s="822"/>
      <c r="N69" s="822"/>
      <c r="O69" s="822"/>
      <c r="P69" s="822"/>
      <c r="Q69" s="253" t="s">
        <v>390</v>
      </c>
      <c r="R69" s="254">
        <v>851458</v>
      </c>
      <c r="S69" s="255">
        <v>946064000</v>
      </c>
      <c r="T69" s="865"/>
      <c r="U69" s="144" t="s">
        <v>163</v>
      </c>
    </row>
    <row r="70" spans="1:21" ht="18" customHeight="1">
      <c r="A70" s="144">
        <v>45</v>
      </c>
      <c r="B70" s="244">
        <v>42716</v>
      </c>
      <c r="C70" s="243" t="s">
        <v>252</v>
      </c>
      <c r="D70" s="243" t="s">
        <v>250</v>
      </c>
      <c r="E70" s="243" t="s">
        <v>255</v>
      </c>
      <c r="F70" s="247">
        <v>26000</v>
      </c>
      <c r="G70" s="246">
        <v>2.83</v>
      </c>
      <c r="H70" s="246">
        <f t="shared" si="31"/>
        <v>73580</v>
      </c>
      <c r="I70" s="842"/>
      <c r="J70" s="844"/>
      <c r="K70" s="842"/>
      <c r="L70" s="842"/>
      <c r="M70" s="822"/>
      <c r="N70" s="822"/>
      <c r="O70" s="822"/>
      <c r="P70" s="822"/>
      <c r="Q70" s="253" t="s">
        <v>56</v>
      </c>
      <c r="R70" s="254">
        <v>4198989</v>
      </c>
      <c r="S70" s="255">
        <v>4665543000</v>
      </c>
      <c r="T70" s="865"/>
      <c r="U70" s="144" t="s">
        <v>81</v>
      </c>
    </row>
    <row r="71" spans="1:21" ht="18" customHeight="1">
      <c r="A71" s="144">
        <v>46</v>
      </c>
      <c r="B71" s="244">
        <v>42716</v>
      </c>
      <c r="C71" s="243" t="s">
        <v>252</v>
      </c>
      <c r="D71" s="243" t="s">
        <v>251</v>
      </c>
      <c r="E71" s="243" t="s">
        <v>256</v>
      </c>
      <c r="F71" s="247">
        <v>26000</v>
      </c>
      <c r="G71" s="246">
        <v>2.83</v>
      </c>
      <c r="H71" s="246">
        <f t="shared" si="31"/>
        <v>73580</v>
      </c>
      <c r="I71" s="831"/>
      <c r="J71" s="845"/>
      <c r="K71" s="831"/>
      <c r="L71" s="831"/>
      <c r="M71" s="823"/>
      <c r="N71" s="823"/>
      <c r="O71" s="823"/>
      <c r="P71" s="823"/>
      <c r="Q71" s="242"/>
      <c r="R71" s="242"/>
      <c r="S71" s="242"/>
      <c r="T71" s="865"/>
      <c r="U71" s="144" t="s">
        <v>81</v>
      </c>
    </row>
    <row r="72" spans="1:21" ht="18" customHeight="1">
      <c r="A72" s="144">
        <v>47</v>
      </c>
      <c r="B72" s="244">
        <v>42720</v>
      </c>
      <c r="C72" s="243" t="s">
        <v>276</v>
      </c>
      <c r="D72" s="248" t="s">
        <v>270</v>
      </c>
      <c r="E72" s="248">
        <v>4844165</v>
      </c>
      <c r="F72" s="247">
        <v>26000</v>
      </c>
      <c r="G72" s="246">
        <v>2.83</v>
      </c>
      <c r="H72" s="246">
        <f t="shared" ref="H72:H82" si="32">F72*G72</f>
        <v>73580</v>
      </c>
      <c r="I72" s="830">
        <f>SUM(H72:H77)</f>
        <v>441480</v>
      </c>
      <c r="J72" s="843">
        <v>42782</v>
      </c>
      <c r="K72" s="830">
        <f>I72-L72</f>
        <v>12</v>
      </c>
      <c r="L72" s="830">
        <v>441468</v>
      </c>
      <c r="M72" s="821">
        <v>22570</v>
      </c>
      <c r="N72" s="821">
        <f>L72*M72</f>
        <v>9963932760</v>
      </c>
      <c r="O72" s="821">
        <v>3250000</v>
      </c>
      <c r="P72" s="821">
        <f>N72-O72</f>
        <v>9960682760</v>
      </c>
      <c r="Q72" s="253" t="s">
        <v>131</v>
      </c>
      <c r="R72" s="254">
        <v>1100000</v>
      </c>
      <c r="S72" s="255">
        <v>1697000000</v>
      </c>
      <c r="T72" s="865">
        <v>575924500</v>
      </c>
      <c r="U72" s="144" t="s">
        <v>108</v>
      </c>
    </row>
    <row r="73" spans="1:21" ht="18" customHeight="1">
      <c r="A73" s="144">
        <v>48</v>
      </c>
      <c r="B73" s="244">
        <v>42720</v>
      </c>
      <c r="C73" s="243" t="s">
        <v>276</v>
      </c>
      <c r="D73" s="248" t="s">
        <v>271</v>
      </c>
      <c r="E73" s="248">
        <v>4844162</v>
      </c>
      <c r="F73" s="247">
        <v>26000</v>
      </c>
      <c r="G73" s="246">
        <v>2.83</v>
      </c>
      <c r="H73" s="246">
        <f t="shared" si="32"/>
        <v>73580</v>
      </c>
      <c r="I73" s="842"/>
      <c r="J73" s="844"/>
      <c r="K73" s="842"/>
      <c r="L73" s="842"/>
      <c r="M73" s="822"/>
      <c r="N73" s="822"/>
      <c r="O73" s="822"/>
      <c r="P73" s="822"/>
      <c r="Q73" s="253" t="s">
        <v>396</v>
      </c>
      <c r="R73" s="254">
        <v>1100000</v>
      </c>
      <c r="S73" s="255">
        <v>1697000000</v>
      </c>
      <c r="T73" s="865"/>
      <c r="U73" s="144" t="s">
        <v>81</v>
      </c>
    </row>
    <row r="74" spans="1:21" ht="18" customHeight="1">
      <c r="A74" s="144">
        <v>49</v>
      </c>
      <c r="B74" s="244">
        <v>42720</v>
      </c>
      <c r="C74" s="243" t="s">
        <v>276</v>
      </c>
      <c r="D74" s="243" t="s">
        <v>272</v>
      </c>
      <c r="E74" s="248">
        <v>4844167</v>
      </c>
      <c r="F74" s="247">
        <v>26000</v>
      </c>
      <c r="G74" s="246">
        <v>2.83</v>
      </c>
      <c r="H74" s="246">
        <f t="shared" si="32"/>
        <v>73580</v>
      </c>
      <c r="I74" s="842"/>
      <c r="J74" s="844"/>
      <c r="K74" s="842"/>
      <c r="L74" s="842"/>
      <c r="M74" s="822"/>
      <c r="N74" s="822"/>
      <c r="O74" s="822"/>
      <c r="P74" s="822"/>
      <c r="Q74" s="253" t="s">
        <v>395</v>
      </c>
      <c r="R74" s="254">
        <v>1100000</v>
      </c>
      <c r="S74" s="255">
        <v>1696000000</v>
      </c>
      <c r="T74" s="865"/>
      <c r="U74" s="144" t="s">
        <v>81</v>
      </c>
    </row>
    <row r="75" spans="1:21" ht="18" customHeight="1">
      <c r="A75" s="144">
        <v>50</v>
      </c>
      <c r="B75" s="244">
        <v>42720</v>
      </c>
      <c r="C75" s="243" t="s">
        <v>276</v>
      </c>
      <c r="D75" s="248" t="s">
        <v>273</v>
      </c>
      <c r="E75" s="248">
        <v>4855088</v>
      </c>
      <c r="F75" s="247">
        <v>26000</v>
      </c>
      <c r="G75" s="246">
        <v>2.83</v>
      </c>
      <c r="H75" s="246">
        <f t="shared" si="32"/>
        <v>73580</v>
      </c>
      <c r="I75" s="842"/>
      <c r="J75" s="844"/>
      <c r="K75" s="842"/>
      <c r="L75" s="842"/>
      <c r="M75" s="822"/>
      <c r="N75" s="822"/>
      <c r="O75" s="822"/>
      <c r="P75" s="822"/>
      <c r="Q75" s="253" t="s">
        <v>400</v>
      </c>
      <c r="R75" s="254">
        <v>1100000</v>
      </c>
      <c r="S75" s="255">
        <v>1696000000</v>
      </c>
      <c r="T75" s="865"/>
      <c r="U75" s="144" t="s">
        <v>81</v>
      </c>
    </row>
    <row r="76" spans="1:21" ht="18" customHeight="1">
      <c r="A76" s="144">
        <v>51</v>
      </c>
      <c r="B76" s="244">
        <v>42720</v>
      </c>
      <c r="C76" s="243" t="s">
        <v>276</v>
      </c>
      <c r="D76" s="248" t="s">
        <v>274</v>
      </c>
      <c r="E76" s="248">
        <v>4844166</v>
      </c>
      <c r="F76" s="247">
        <v>26000</v>
      </c>
      <c r="G76" s="246">
        <v>2.83</v>
      </c>
      <c r="H76" s="246">
        <f t="shared" si="32"/>
        <v>73580</v>
      </c>
      <c r="I76" s="842"/>
      <c r="J76" s="844"/>
      <c r="K76" s="842"/>
      <c r="L76" s="842"/>
      <c r="M76" s="822"/>
      <c r="N76" s="822"/>
      <c r="O76" s="822"/>
      <c r="P76" s="822"/>
      <c r="Q76" s="256" t="s">
        <v>401</v>
      </c>
      <c r="R76" s="254">
        <v>1100000</v>
      </c>
      <c r="S76" s="255">
        <v>1696000000</v>
      </c>
      <c r="T76" s="865"/>
      <c r="U76" s="144" t="s">
        <v>108</v>
      </c>
    </row>
    <row r="77" spans="1:21" ht="18" customHeight="1">
      <c r="A77" s="144">
        <v>52</v>
      </c>
      <c r="B77" s="244">
        <v>42720</v>
      </c>
      <c r="C77" s="243" t="s">
        <v>276</v>
      </c>
      <c r="D77" s="248" t="s">
        <v>275</v>
      </c>
      <c r="E77" s="248">
        <v>4844102</v>
      </c>
      <c r="F77" s="247">
        <v>26000</v>
      </c>
      <c r="G77" s="246">
        <v>2.83</v>
      </c>
      <c r="H77" s="246">
        <f t="shared" si="32"/>
        <v>73580</v>
      </c>
      <c r="I77" s="831"/>
      <c r="J77" s="845"/>
      <c r="K77" s="831"/>
      <c r="L77" s="831"/>
      <c r="M77" s="823"/>
      <c r="N77" s="823"/>
      <c r="O77" s="823"/>
      <c r="P77" s="823"/>
      <c r="Q77" s="257" t="s">
        <v>394</v>
      </c>
      <c r="R77" s="254">
        <v>1100000</v>
      </c>
      <c r="S77" s="255">
        <v>1696000000</v>
      </c>
      <c r="T77" s="865"/>
      <c r="U77" s="144" t="s">
        <v>81</v>
      </c>
    </row>
    <row r="78" spans="1:21" ht="18" customHeight="1">
      <c r="A78" s="144">
        <v>53</v>
      </c>
      <c r="B78" s="244">
        <v>42723</v>
      </c>
      <c r="C78" s="243" t="s">
        <v>290</v>
      </c>
      <c r="D78" s="243" t="s">
        <v>291</v>
      </c>
      <c r="E78" s="243" t="s">
        <v>297</v>
      </c>
      <c r="F78" s="247">
        <f>2030*13</f>
        <v>26390</v>
      </c>
      <c r="G78" s="246">
        <v>2.83</v>
      </c>
      <c r="H78" s="246">
        <f t="shared" si="32"/>
        <v>74683.7</v>
      </c>
      <c r="I78" s="866">
        <f>H78+H79</f>
        <v>149367.4</v>
      </c>
      <c r="J78" s="867">
        <v>42774</v>
      </c>
      <c r="K78" s="866">
        <f>I78-L78</f>
        <v>12</v>
      </c>
      <c r="L78" s="866">
        <v>149355.4</v>
      </c>
      <c r="M78" s="821">
        <v>22520</v>
      </c>
      <c r="N78" s="865">
        <f t="shared" ref="N78" si="33">L78*M78</f>
        <v>3363483608</v>
      </c>
      <c r="O78" s="865">
        <v>1861474</v>
      </c>
      <c r="P78" s="823">
        <f t="shared" ref="P78" si="34">N78-O78</f>
        <v>3361622134</v>
      </c>
      <c r="Q78" s="253" t="s">
        <v>142</v>
      </c>
      <c r="R78" s="254">
        <v>1175650</v>
      </c>
      <c r="S78" s="255">
        <v>1679500000</v>
      </c>
      <c r="T78" s="865"/>
      <c r="U78" s="144" t="s">
        <v>81</v>
      </c>
    </row>
    <row r="79" spans="1:21" ht="18" customHeight="1">
      <c r="A79" s="144">
        <v>54</v>
      </c>
      <c r="B79" s="244">
        <v>42723</v>
      </c>
      <c r="C79" s="243" t="s">
        <v>290</v>
      </c>
      <c r="D79" s="243" t="s">
        <v>292</v>
      </c>
      <c r="E79" s="243" t="s">
        <v>298</v>
      </c>
      <c r="F79" s="247">
        <f t="shared" ref="F79:F101" si="35">2030*13</f>
        <v>26390</v>
      </c>
      <c r="G79" s="246">
        <v>2.83</v>
      </c>
      <c r="H79" s="246">
        <f t="shared" si="32"/>
        <v>74683.7</v>
      </c>
      <c r="I79" s="866"/>
      <c r="J79" s="867"/>
      <c r="K79" s="866"/>
      <c r="L79" s="866"/>
      <c r="M79" s="823"/>
      <c r="N79" s="865"/>
      <c r="O79" s="865"/>
      <c r="P79" s="865"/>
      <c r="Q79" s="256" t="s">
        <v>152</v>
      </c>
      <c r="R79" s="254">
        <v>1175650</v>
      </c>
      <c r="S79" s="255">
        <v>1679500000</v>
      </c>
      <c r="T79" s="865"/>
      <c r="U79" s="144" t="s">
        <v>81</v>
      </c>
    </row>
    <row r="80" spans="1:21" ht="18" customHeight="1">
      <c r="A80" s="144">
        <v>55</v>
      </c>
      <c r="B80" s="244">
        <v>42723</v>
      </c>
      <c r="C80" s="243" t="s">
        <v>290</v>
      </c>
      <c r="D80" s="243" t="s">
        <v>293</v>
      </c>
      <c r="E80" s="243" t="s">
        <v>299</v>
      </c>
      <c r="F80" s="247">
        <f t="shared" si="35"/>
        <v>26390</v>
      </c>
      <c r="G80" s="246">
        <v>2.83</v>
      </c>
      <c r="H80" s="246">
        <f t="shared" si="32"/>
        <v>74683.7</v>
      </c>
      <c r="I80" s="830">
        <f>SUM(H80:H85)</f>
        <v>448102.2</v>
      </c>
      <c r="J80" s="843">
        <v>42788</v>
      </c>
      <c r="K80" s="830">
        <f>I80-L80</f>
        <v>122</v>
      </c>
      <c r="L80" s="830">
        <v>447980.2</v>
      </c>
      <c r="M80" s="821">
        <v>22620</v>
      </c>
      <c r="N80" s="821">
        <f>L80*M80</f>
        <v>10133312124</v>
      </c>
      <c r="O80" s="821"/>
      <c r="P80" s="821">
        <f>N80-O80</f>
        <v>10133312124</v>
      </c>
      <c r="Q80" s="253" t="s">
        <v>396</v>
      </c>
      <c r="R80" s="254">
        <v>1100000</v>
      </c>
      <c r="S80" s="255">
        <v>2110891000</v>
      </c>
      <c r="T80" s="865"/>
      <c r="U80" s="144" t="s">
        <v>108</v>
      </c>
    </row>
    <row r="81" spans="1:21" ht="18" customHeight="1">
      <c r="A81" s="144">
        <v>56</v>
      </c>
      <c r="B81" s="244">
        <v>42723</v>
      </c>
      <c r="C81" s="243" t="s">
        <v>290</v>
      </c>
      <c r="D81" s="243" t="s">
        <v>294</v>
      </c>
      <c r="E81" s="243" t="s">
        <v>300</v>
      </c>
      <c r="F81" s="247">
        <f t="shared" si="35"/>
        <v>26390</v>
      </c>
      <c r="G81" s="246">
        <v>2.83</v>
      </c>
      <c r="H81" s="246">
        <f t="shared" si="32"/>
        <v>74683.7</v>
      </c>
      <c r="I81" s="842"/>
      <c r="J81" s="844"/>
      <c r="K81" s="842"/>
      <c r="L81" s="842"/>
      <c r="M81" s="822"/>
      <c r="N81" s="822"/>
      <c r="O81" s="822"/>
      <c r="P81" s="822"/>
      <c r="Q81" s="253" t="s">
        <v>395</v>
      </c>
      <c r="R81" s="254">
        <v>1100000</v>
      </c>
      <c r="S81" s="255">
        <v>1238708500</v>
      </c>
      <c r="T81" s="865"/>
      <c r="U81" s="144" t="s">
        <v>81</v>
      </c>
    </row>
    <row r="82" spans="1:21" ht="18" customHeight="1">
      <c r="A82" s="144">
        <v>57</v>
      </c>
      <c r="B82" s="244">
        <v>42723</v>
      </c>
      <c r="C82" s="243" t="s">
        <v>290</v>
      </c>
      <c r="D82" s="243" t="s">
        <v>295</v>
      </c>
      <c r="E82" s="243" t="s">
        <v>301</v>
      </c>
      <c r="F82" s="247">
        <f t="shared" si="35"/>
        <v>26390</v>
      </c>
      <c r="G82" s="246">
        <v>2.83</v>
      </c>
      <c r="H82" s="246">
        <f t="shared" si="32"/>
        <v>74683.7</v>
      </c>
      <c r="I82" s="842"/>
      <c r="J82" s="844"/>
      <c r="K82" s="842"/>
      <c r="L82" s="842"/>
      <c r="M82" s="822"/>
      <c r="N82" s="822"/>
      <c r="O82" s="822"/>
      <c r="P82" s="822"/>
      <c r="Q82" s="253" t="s">
        <v>131</v>
      </c>
      <c r="R82" s="254">
        <v>1100000</v>
      </c>
      <c r="S82" s="255">
        <v>1473180000</v>
      </c>
      <c r="T82" s="865"/>
      <c r="U82" s="144" t="s">
        <v>108</v>
      </c>
    </row>
    <row r="83" spans="1:21" ht="18" customHeight="1">
      <c r="A83" s="144">
        <v>58</v>
      </c>
      <c r="B83" s="244">
        <v>42723</v>
      </c>
      <c r="C83" s="243" t="s">
        <v>290</v>
      </c>
      <c r="D83" s="243" t="s">
        <v>296</v>
      </c>
      <c r="E83" s="243" t="s">
        <v>302</v>
      </c>
      <c r="F83" s="247">
        <f t="shared" si="35"/>
        <v>26390</v>
      </c>
      <c r="G83" s="246">
        <v>2.83</v>
      </c>
      <c r="H83" s="246">
        <f t="shared" si="31"/>
        <v>74683.7</v>
      </c>
      <c r="I83" s="842"/>
      <c r="J83" s="844"/>
      <c r="K83" s="842"/>
      <c r="L83" s="842"/>
      <c r="M83" s="822"/>
      <c r="N83" s="822"/>
      <c r="O83" s="822"/>
      <c r="P83" s="822"/>
      <c r="Q83" s="253" t="s">
        <v>406</v>
      </c>
      <c r="R83" s="254">
        <v>1100000</v>
      </c>
      <c r="S83" s="255">
        <v>1552320000</v>
      </c>
      <c r="T83" s="865"/>
      <c r="U83" s="144" t="s">
        <v>81</v>
      </c>
    </row>
    <row r="84" spans="1:21" ht="18" customHeight="1">
      <c r="A84" s="144">
        <v>59</v>
      </c>
      <c r="B84" s="244">
        <v>42726</v>
      </c>
      <c r="C84" s="243" t="s">
        <v>343</v>
      </c>
      <c r="D84" s="243" t="s">
        <v>344</v>
      </c>
      <c r="E84" s="243">
        <v>4839799</v>
      </c>
      <c r="F84" s="247">
        <f t="shared" si="35"/>
        <v>26390</v>
      </c>
      <c r="G84" s="246">
        <v>2.83</v>
      </c>
      <c r="H84" s="246">
        <f t="shared" si="31"/>
        <v>74683.7</v>
      </c>
      <c r="I84" s="842"/>
      <c r="J84" s="844"/>
      <c r="K84" s="842"/>
      <c r="L84" s="842"/>
      <c r="M84" s="822"/>
      <c r="N84" s="822"/>
      <c r="O84" s="822"/>
      <c r="P84" s="822"/>
      <c r="Q84" s="253" t="s">
        <v>400</v>
      </c>
      <c r="R84" s="254">
        <v>1100000</v>
      </c>
      <c r="S84" s="255">
        <v>1329812000</v>
      </c>
      <c r="T84" s="821">
        <v>596770925</v>
      </c>
      <c r="U84" s="144" t="s">
        <v>163</v>
      </c>
    </row>
    <row r="85" spans="1:21" ht="18" customHeight="1">
      <c r="A85" s="144">
        <v>60</v>
      </c>
      <c r="B85" s="244">
        <v>42726</v>
      </c>
      <c r="C85" s="243" t="s">
        <v>343</v>
      </c>
      <c r="D85" s="243" t="s">
        <v>345</v>
      </c>
      <c r="E85" s="243">
        <v>4839863</v>
      </c>
      <c r="F85" s="247">
        <f t="shared" si="35"/>
        <v>26390</v>
      </c>
      <c r="G85" s="246">
        <v>2.83</v>
      </c>
      <c r="H85" s="246">
        <f t="shared" si="31"/>
        <v>74683.7</v>
      </c>
      <c r="I85" s="831"/>
      <c r="J85" s="845"/>
      <c r="K85" s="831"/>
      <c r="L85" s="831"/>
      <c r="M85" s="823"/>
      <c r="N85" s="823"/>
      <c r="O85" s="823"/>
      <c r="P85" s="823"/>
      <c r="Q85" s="257" t="s">
        <v>394</v>
      </c>
      <c r="R85" s="260">
        <v>1100000</v>
      </c>
      <c r="S85" s="258">
        <v>2251300000</v>
      </c>
      <c r="T85" s="822"/>
      <c r="U85" s="144" t="s">
        <v>163</v>
      </c>
    </row>
    <row r="86" spans="1:21" ht="18" customHeight="1">
      <c r="A86" s="144">
        <v>61</v>
      </c>
      <c r="B86" s="244">
        <v>42727</v>
      </c>
      <c r="C86" s="243" t="s">
        <v>343</v>
      </c>
      <c r="D86" s="243" t="s">
        <v>346</v>
      </c>
      <c r="E86" s="243">
        <v>4839808</v>
      </c>
      <c r="F86" s="247">
        <f t="shared" si="35"/>
        <v>26390</v>
      </c>
      <c r="G86" s="246">
        <v>2.83</v>
      </c>
      <c r="H86" s="246">
        <f t="shared" si="31"/>
        <v>74683.7</v>
      </c>
      <c r="I86" s="830">
        <f>SUM(H86:H91)</f>
        <v>450241.68</v>
      </c>
      <c r="J86" s="843">
        <v>42790</v>
      </c>
      <c r="K86" s="830">
        <f>I86-L86</f>
        <v>12</v>
      </c>
      <c r="L86" s="830">
        <v>450229.68</v>
      </c>
      <c r="M86" s="821">
        <v>22620</v>
      </c>
      <c r="N86" s="821">
        <f>L86*M86</f>
        <v>10184195361.6</v>
      </c>
      <c r="O86" s="821">
        <v>2514600</v>
      </c>
      <c r="P86" s="821">
        <f t="shared" ref="P86" si="36">N86-O86</f>
        <v>10181680761.6</v>
      </c>
      <c r="Q86" s="61" t="s">
        <v>396</v>
      </c>
      <c r="R86" s="247">
        <v>1100000</v>
      </c>
      <c r="S86" s="255">
        <v>2809419000</v>
      </c>
      <c r="T86" s="822"/>
      <c r="U86" s="144" t="s">
        <v>163</v>
      </c>
    </row>
    <row r="87" spans="1:21" ht="18" customHeight="1">
      <c r="A87" s="144">
        <v>62</v>
      </c>
      <c r="B87" s="244">
        <v>42727</v>
      </c>
      <c r="C87" s="243" t="s">
        <v>343</v>
      </c>
      <c r="D87" s="243" t="s">
        <v>347</v>
      </c>
      <c r="E87" s="243">
        <v>4839819</v>
      </c>
      <c r="F87" s="247">
        <f t="shared" si="35"/>
        <v>26390</v>
      </c>
      <c r="G87" s="246">
        <v>2.83</v>
      </c>
      <c r="H87" s="246">
        <f t="shared" si="31"/>
        <v>74683.7</v>
      </c>
      <c r="I87" s="842"/>
      <c r="J87" s="844"/>
      <c r="K87" s="842"/>
      <c r="L87" s="842"/>
      <c r="M87" s="822"/>
      <c r="N87" s="822"/>
      <c r="O87" s="822"/>
      <c r="P87" s="822"/>
      <c r="Q87" s="61" t="s">
        <v>395</v>
      </c>
      <c r="R87" s="247">
        <v>550000</v>
      </c>
      <c r="S87" s="255">
        <v>1000000000</v>
      </c>
      <c r="T87" s="822"/>
      <c r="U87" s="144" t="s">
        <v>350</v>
      </c>
    </row>
    <row r="88" spans="1:21" ht="18" customHeight="1">
      <c r="A88" s="144">
        <v>63</v>
      </c>
      <c r="B88" s="244">
        <v>42727</v>
      </c>
      <c r="C88" s="243" t="s">
        <v>343</v>
      </c>
      <c r="D88" s="243" t="s">
        <v>348</v>
      </c>
      <c r="E88" s="243">
        <v>4839726</v>
      </c>
      <c r="F88" s="247">
        <f t="shared" si="35"/>
        <v>26390</v>
      </c>
      <c r="G88" s="246">
        <v>2.83</v>
      </c>
      <c r="H88" s="246">
        <f t="shared" si="31"/>
        <v>74683.7</v>
      </c>
      <c r="I88" s="842"/>
      <c r="J88" s="844"/>
      <c r="K88" s="842"/>
      <c r="L88" s="842"/>
      <c r="M88" s="822"/>
      <c r="N88" s="822"/>
      <c r="O88" s="822"/>
      <c r="P88" s="822"/>
      <c r="Q88" s="61" t="s">
        <v>400</v>
      </c>
      <c r="R88" s="247">
        <v>825000</v>
      </c>
      <c r="S88" s="255">
        <v>1500000000</v>
      </c>
      <c r="T88" s="822"/>
      <c r="U88" s="144" t="s">
        <v>108</v>
      </c>
    </row>
    <row r="89" spans="1:21" ht="18" customHeight="1">
      <c r="A89" s="144">
        <v>64</v>
      </c>
      <c r="B89" s="244">
        <v>42727</v>
      </c>
      <c r="C89" s="243" t="s">
        <v>343</v>
      </c>
      <c r="D89" s="243" t="s">
        <v>349</v>
      </c>
      <c r="E89" s="243">
        <v>4839755</v>
      </c>
      <c r="F89" s="247">
        <f>1939*14</f>
        <v>27146</v>
      </c>
      <c r="G89" s="246">
        <v>2.83</v>
      </c>
      <c r="H89" s="246">
        <f t="shared" si="31"/>
        <v>76823.180000000008</v>
      </c>
      <c r="I89" s="842"/>
      <c r="J89" s="844"/>
      <c r="K89" s="842"/>
      <c r="L89" s="842"/>
      <c r="M89" s="822"/>
      <c r="N89" s="822"/>
      <c r="O89" s="822"/>
      <c r="P89" s="822"/>
      <c r="Q89" s="220" t="s">
        <v>394</v>
      </c>
      <c r="R89" s="247">
        <v>1100000</v>
      </c>
      <c r="S89" s="255">
        <v>4443756000</v>
      </c>
      <c r="T89" s="822"/>
      <c r="U89" s="144" t="s">
        <v>81</v>
      </c>
    </row>
    <row r="90" spans="1:21" ht="18" customHeight="1">
      <c r="A90" s="144">
        <v>65</v>
      </c>
      <c r="B90" s="244">
        <v>42730</v>
      </c>
      <c r="C90" s="243" t="s">
        <v>363</v>
      </c>
      <c r="D90" s="243" t="s">
        <v>351</v>
      </c>
      <c r="E90" s="243" t="s">
        <v>352</v>
      </c>
      <c r="F90" s="247">
        <f t="shared" si="35"/>
        <v>26390</v>
      </c>
      <c r="G90" s="246">
        <v>2.83</v>
      </c>
      <c r="H90" s="246">
        <f t="shared" si="31"/>
        <v>74683.7</v>
      </c>
      <c r="I90" s="842"/>
      <c r="J90" s="844"/>
      <c r="K90" s="842"/>
      <c r="L90" s="842"/>
      <c r="M90" s="822"/>
      <c r="N90" s="822"/>
      <c r="O90" s="822"/>
      <c r="P90" s="822"/>
      <c r="Q90" s="61" t="s">
        <v>56</v>
      </c>
      <c r="R90" s="247">
        <v>324500</v>
      </c>
      <c r="S90" s="255">
        <v>590000000</v>
      </c>
      <c r="T90" s="822"/>
      <c r="U90" s="144" t="s">
        <v>108</v>
      </c>
    </row>
    <row r="91" spans="1:21" ht="18" customHeight="1">
      <c r="A91" s="144">
        <v>66</v>
      </c>
      <c r="B91" s="244">
        <v>42730</v>
      </c>
      <c r="C91" s="243" t="s">
        <v>363</v>
      </c>
      <c r="D91" s="243" t="s">
        <v>353</v>
      </c>
      <c r="E91" s="243" t="s">
        <v>354</v>
      </c>
      <c r="F91" s="247">
        <f t="shared" si="35"/>
        <v>26390</v>
      </c>
      <c r="G91" s="246">
        <v>2.83</v>
      </c>
      <c r="H91" s="246">
        <f t="shared" si="31"/>
        <v>74683.7</v>
      </c>
      <c r="I91" s="831"/>
      <c r="J91" s="845"/>
      <c r="K91" s="831"/>
      <c r="L91" s="831"/>
      <c r="M91" s="823"/>
      <c r="N91" s="823"/>
      <c r="O91" s="823"/>
      <c r="P91" s="823"/>
      <c r="Q91" s="247"/>
      <c r="R91" s="247"/>
      <c r="S91" s="247"/>
      <c r="T91" s="822"/>
      <c r="U91" s="144" t="s">
        <v>108</v>
      </c>
    </row>
    <row r="92" spans="1:21" ht="18" customHeight="1">
      <c r="A92" s="144">
        <v>67</v>
      </c>
      <c r="B92" s="244">
        <v>42731</v>
      </c>
      <c r="C92" s="243" t="s">
        <v>363</v>
      </c>
      <c r="D92" s="243" t="s">
        <v>355</v>
      </c>
      <c r="E92" s="243" t="s">
        <v>356</v>
      </c>
      <c r="F92" s="247">
        <f t="shared" si="35"/>
        <v>26390</v>
      </c>
      <c r="G92" s="246">
        <v>2.83</v>
      </c>
      <c r="H92" s="246">
        <f t="shared" si="31"/>
        <v>74683.7</v>
      </c>
      <c r="I92" s="830">
        <f>SUM(H92:H97)</f>
        <v>448102.2</v>
      </c>
      <c r="J92" s="843">
        <v>42797</v>
      </c>
      <c r="K92" s="830">
        <f>I92-L92</f>
        <v>12</v>
      </c>
      <c r="L92" s="830">
        <v>448090.2</v>
      </c>
      <c r="M92" s="821">
        <v>22650</v>
      </c>
      <c r="N92" s="821">
        <f>L92*M92</f>
        <v>10149243030</v>
      </c>
      <c r="O92" s="821">
        <v>2514600</v>
      </c>
      <c r="P92" s="821">
        <f t="shared" ref="P92" si="37">N92-O92</f>
        <v>10146728430</v>
      </c>
      <c r="Q92" s="139" t="s">
        <v>397</v>
      </c>
      <c r="R92" s="247">
        <v>1100000</v>
      </c>
      <c r="S92" s="247">
        <v>1950000000</v>
      </c>
      <c r="T92" s="822"/>
      <c r="U92" s="144" t="s">
        <v>81</v>
      </c>
    </row>
    <row r="93" spans="1:21" ht="18" customHeight="1">
      <c r="A93" s="144">
        <v>68</v>
      </c>
      <c r="B93" s="244">
        <v>42730</v>
      </c>
      <c r="C93" s="243" t="s">
        <v>363</v>
      </c>
      <c r="D93" s="243" t="s">
        <v>357</v>
      </c>
      <c r="E93" s="243" t="s">
        <v>358</v>
      </c>
      <c r="F93" s="247">
        <f t="shared" si="35"/>
        <v>26390</v>
      </c>
      <c r="G93" s="246">
        <v>2.83</v>
      </c>
      <c r="H93" s="246">
        <f t="shared" si="31"/>
        <v>74683.7</v>
      </c>
      <c r="I93" s="842"/>
      <c r="J93" s="844"/>
      <c r="K93" s="842"/>
      <c r="L93" s="842"/>
      <c r="M93" s="822"/>
      <c r="N93" s="822"/>
      <c r="O93" s="822"/>
      <c r="P93" s="822"/>
      <c r="Q93" s="139" t="s">
        <v>395</v>
      </c>
      <c r="R93" s="276">
        <v>770000</v>
      </c>
      <c r="S93" s="247">
        <v>1000000000</v>
      </c>
      <c r="T93" s="822"/>
      <c r="U93" s="144" t="s">
        <v>81</v>
      </c>
    </row>
    <row r="94" spans="1:21" ht="18" customHeight="1">
      <c r="A94" s="144">
        <v>69</v>
      </c>
      <c r="B94" s="244">
        <v>42730</v>
      </c>
      <c r="C94" s="243" t="s">
        <v>363</v>
      </c>
      <c r="D94" s="243" t="s">
        <v>359</v>
      </c>
      <c r="E94" s="243" t="s">
        <v>360</v>
      </c>
      <c r="F94" s="247">
        <f t="shared" si="35"/>
        <v>26390</v>
      </c>
      <c r="G94" s="246">
        <v>2.83</v>
      </c>
      <c r="H94" s="246">
        <f t="shared" si="31"/>
        <v>74683.7</v>
      </c>
      <c r="I94" s="842"/>
      <c r="J94" s="844"/>
      <c r="K94" s="842"/>
      <c r="L94" s="842"/>
      <c r="M94" s="822"/>
      <c r="N94" s="822"/>
      <c r="O94" s="822"/>
      <c r="P94" s="822"/>
      <c r="Q94" s="139" t="s">
        <v>400</v>
      </c>
      <c r="R94" s="276">
        <v>1100000</v>
      </c>
      <c r="S94" s="247">
        <v>1500000000</v>
      </c>
      <c r="T94" s="822"/>
      <c r="U94" s="144" t="s">
        <v>81</v>
      </c>
    </row>
    <row r="95" spans="1:21" ht="18" customHeight="1">
      <c r="A95" s="144">
        <v>70</v>
      </c>
      <c r="B95" s="244">
        <v>42731</v>
      </c>
      <c r="C95" s="243" t="s">
        <v>363</v>
      </c>
      <c r="D95" s="243" t="s">
        <v>361</v>
      </c>
      <c r="E95" s="243" t="s">
        <v>362</v>
      </c>
      <c r="F95" s="247">
        <f t="shared" si="35"/>
        <v>26390</v>
      </c>
      <c r="G95" s="246">
        <v>2.83</v>
      </c>
      <c r="H95" s="246">
        <f t="shared" si="31"/>
        <v>74683.7</v>
      </c>
      <c r="I95" s="842"/>
      <c r="J95" s="844"/>
      <c r="K95" s="842"/>
      <c r="L95" s="842"/>
      <c r="M95" s="822"/>
      <c r="N95" s="822"/>
      <c r="O95" s="822"/>
      <c r="P95" s="822"/>
      <c r="Q95" s="139" t="s">
        <v>394</v>
      </c>
      <c r="R95" s="276">
        <v>1100000</v>
      </c>
      <c r="S95" s="247">
        <v>1955000000</v>
      </c>
      <c r="T95" s="823"/>
      <c r="U95" s="144" t="s">
        <v>108</v>
      </c>
    </row>
    <row r="96" spans="1:21" ht="18" customHeight="1">
      <c r="A96" s="144">
        <v>71</v>
      </c>
      <c r="B96" s="244">
        <v>42733</v>
      </c>
      <c r="C96" s="243" t="s">
        <v>366</v>
      </c>
      <c r="D96" s="243" t="s">
        <v>364</v>
      </c>
      <c r="E96" s="243">
        <v>4854276</v>
      </c>
      <c r="F96" s="247">
        <f t="shared" si="35"/>
        <v>26390</v>
      </c>
      <c r="G96" s="246">
        <v>2.83</v>
      </c>
      <c r="H96" s="246">
        <f t="shared" si="31"/>
        <v>74683.7</v>
      </c>
      <c r="I96" s="842"/>
      <c r="J96" s="844"/>
      <c r="K96" s="842"/>
      <c r="L96" s="842"/>
      <c r="M96" s="822"/>
      <c r="N96" s="822"/>
      <c r="O96" s="822"/>
      <c r="P96" s="822"/>
      <c r="Q96" s="139" t="s">
        <v>55</v>
      </c>
      <c r="R96" s="276">
        <v>1100000</v>
      </c>
      <c r="S96" s="247">
        <v>2245072000</v>
      </c>
      <c r="T96" s="821">
        <v>101101100</v>
      </c>
      <c r="U96" s="144" t="s">
        <v>108</v>
      </c>
    </row>
    <row r="97" spans="1:21" ht="18" customHeight="1">
      <c r="A97" s="144">
        <v>72</v>
      </c>
      <c r="B97" s="244">
        <v>42733</v>
      </c>
      <c r="C97" s="243" t="s">
        <v>366</v>
      </c>
      <c r="D97" s="243" t="s">
        <v>365</v>
      </c>
      <c r="E97" s="243">
        <v>3743346</v>
      </c>
      <c r="F97" s="247">
        <f t="shared" si="35"/>
        <v>26390</v>
      </c>
      <c r="G97" s="246">
        <v>2.83</v>
      </c>
      <c r="H97" s="246">
        <f t="shared" si="31"/>
        <v>74683.7</v>
      </c>
      <c r="I97" s="831"/>
      <c r="J97" s="845"/>
      <c r="K97" s="831"/>
      <c r="L97" s="831"/>
      <c r="M97" s="823"/>
      <c r="N97" s="823"/>
      <c r="O97" s="823"/>
      <c r="P97" s="823"/>
      <c r="Q97" s="139" t="s">
        <v>56</v>
      </c>
      <c r="R97" s="276">
        <v>1100000</v>
      </c>
      <c r="S97" s="247">
        <v>1998400000</v>
      </c>
      <c r="T97" s="823"/>
      <c r="U97" s="144" t="s">
        <v>163</v>
      </c>
    </row>
    <row r="98" spans="1:21" ht="18" customHeight="1">
      <c r="A98" s="144">
        <v>73</v>
      </c>
      <c r="B98" s="244">
        <v>42741</v>
      </c>
      <c r="C98" s="243" t="s">
        <v>381</v>
      </c>
      <c r="D98" s="243" t="s">
        <v>382</v>
      </c>
      <c r="E98" s="243">
        <v>4863596</v>
      </c>
      <c r="F98" s="247">
        <f t="shared" si="35"/>
        <v>26390</v>
      </c>
      <c r="G98" s="246">
        <v>2.63</v>
      </c>
      <c r="H98" s="246">
        <f t="shared" si="31"/>
        <v>69405.7</v>
      </c>
      <c r="I98" s="830">
        <f>SUM(H98:H101)</f>
        <v>277622.8</v>
      </c>
      <c r="J98" s="843">
        <v>42779</v>
      </c>
      <c r="K98" s="830">
        <f>I98-L98</f>
        <v>12</v>
      </c>
      <c r="L98" s="830">
        <v>277610.8</v>
      </c>
      <c r="M98" s="821">
        <v>22520</v>
      </c>
      <c r="N98" s="821">
        <f>L98*M98</f>
        <v>6251795216</v>
      </c>
      <c r="O98" s="821">
        <v>2899200</v>
      </c>
      <c r="P98" s="821">
        <f t="shared" ref="P98" si="38">N98-O98</f>
        <v>6248896016</v>
      </c>
      <c r="Q98" s="253" t="s">
        <v>394</v>
      </c>
      <c r="R98" s="254">
        <v>1339135</v>
      </c>
      <c r="S98" s="255">
        <v>1487928000</v>
      </c>
      <c r="T98" s="821">
        <v>216247040</v>
      </c>
      <c r="U98" s="144" t="s">
        <v>108</v>
      </c>
    </row>
    <row r="99" spans="1:21" ht="18" customHeight="1">
      <c r="A99" s="144">
        <v>74</v>
      </c>
      <c r="B99" s="244">
        <v>42741</v>
      </c>
      <c r="C99" s="243" t="s">
        <v>381</v>
      </c>
      <c r="D99" s="243" t="s">
        <v>383</v>
      </c>
      <c r="E99" s="243">
        <v>4854231</v>
      </c>
      <c r="F99" s="247">
        <f t="shared" si="35"/>
        <v>26390</v>
      </c>
      <c r="G99" s="246">
        <v>2.63</v>
      </c>
      <c r="H99" s="246">
        <f t="shared" si="31"/>
        <v>69405.7</v>
      </c>
      <c r="I99" s="842"/>
      <c r="J99" s="844"/>
      <c r="K99" s="842"/>
      <c r="L99" s="842"/>
      <c r="M99" s="822"/>
      <c r="N99" s="822"/>
      <c r="O99" s="822"/>
      <c r="P99" s="822"/>
      <c r="Q99" s="253" t="s">
        <v>395</v>
      </c>
      <c r="R99" s="254">
        <v>1367145</v>
      </c>
      <c r="S99" s="255">
        <v>1519050000</v>
      </c>
      <c r="T99" s="822"/>
      <c r="U99" s="144" t="s">
        <v>388</v>
      </c>
    </row>
    <row r="100" spans="1:21" ht="18.75" customHeight="1">
      <c r="A100" s="144">
        <v>75</v>
      </c>
      <c r="B100" s="244">
        <v>42741</v>
      </c>
      <c r="C100" s="243" t="s">
        <v>381</v>
      </c>
      <c r="D100" s="243" t="s">
        <v>384</v>
      </c>
      <c r="E100" s="243">
        <v>4854203</v>
      </c>
      <c r="F100" s="247">
        <f t="shared" si="35"/>
        <v>26390</v>
      </c>
      <c r="G100" s="246">
        <v>2.63</v>
      </c>
      <c r="H100" s="246">
        <f t="shared" si="31"/>
        <v>69405.7</v>
      </c>
      <c r="I100" s="842"/>
      <c r="J100" s="844"/>
      <c r="K100" s="842"/>
      <c r="L100" s="842"/>
      <c r="M100" s="822"/>
      <c r="N100" s="822"/>
      <c r="O100" s="822"/>
      <c r="P100" s="822"/>
      <c r="Q100" s="253" t="s">
        <v>396</v>
      </c>
      <c r="R100" s="254">
        <v>1360476</v>
      </c>
      <c r="S100" s="255">
        <v>1511640000</v>
      </c>
      <c r="T100" s="822"/>
      <c r="U100" s="144" t="s">
        <v>387</v>
      </c>
    </row>
    <row r="101" spans="1:21" ht="18.75" customHeight="1">
      <c r="A101" s="144">
        <v>76</v>
      </c>
      <c r="B101" s="244">
        <v>42741</v>
      </c>
      <c r="C101" s="243" t="s">
        <v>381</v>
      </c>
      <c r="D101" s="243" t="s">
        <v>385</v>
      </c>
      <c r="E101" s="243" t="s">
        <v>386</v>
      </c>
      <c r="F101" s="247">
        <f t="shared" si="35"/>
        <v>26390</v>
      </c>
      <c r="G101" s="246">
        <v>2.63</v>
      </c>
      <c r="H101" s="246">
        <f t="shared" si="31"/>
        <v>69405.7</v>
      </c>
      <c r="I101" s="831"/>
      <c r="J101" s="845"/>
      <c r="K101" s="831"/>
      <c r="L101" s="831"/>
      <c r="M101" s="823"/>
      <c r="N101" s="823"/>
      <c r="O101" s="823"/>
      <c r="P101" s="823"/>
      <c r="Q101" s="253" t="s">
        <v>397</v>
      </c>
      <c r="R101" s="254">
        <v>1348542</v>
      </c>
      <c r="S101" s="255">
        <v>1498380000</v>
      </c>
      <c r="T101" s="823"/>
      <c r="U101" s="144" t="s">
        <v>81</v>
      </c>
    </row>
    <row r="102" spans="1:21" ht="18.75" customHeight="1">
      <c r="A102" s="249"/>
      <c r="B102" s="250"/>
      <c r="C102" s="148"/>
      <c r="D102" s="148"/>
      <c r="E102" s="148"/>
      <c r="F102" s="251"/>
      <c r="G102" s="252"/>
      <c r="H102" s="252"/>
      <c r="I102" s="252"/>
      <c r="J102" s="244"/>
      <c r="K102" s="151"/>
      <c r="L102" s="239"/>
      <c r="M102" s="252"/>
      <c r="N102" s="252"/>
      <c r="O102" s="252"/>
      <c r="P102" s="252"/>
      <c r="Q102" s="252"/>
      <c r="R102" s="252"/>
      <c r="S102" s="252"/>
      <c r="T102" s="252"/>
      <c r="U102" s="249"/>
    </row>
    <row r="103" spans="1:21" ht="18.75" customHeight="1">
      <c r="A103" s="846" t="s">
        <v>19</v>
      </c>
      <c r="B103" s="847"/>
      <c r="C103" s="847"/>
      <c r="D103" s="847"/>
      <c r="E103" s="848"/>
      <c r="F103" s="261">
        <f>SUM(F19:F102)</f>
        <v>1987871</v>
      </c>
      <c r="G103" s="262"/>
      <c r="H103" s="262"/>
      <c r="I103" s="262">
        <f>SUM(I19:I102)</f>
        <v>5555679.6799999997</v>
      </c>
      <c r="J103" s="262"/>
      <c r="K103" s="261">
        <f>SUM(K19:K102)</f>
        <v>677.00000000005821</v>
      </c>
      <c r="L103" s="262">
        <f>SUM(L19:L102)</f>
        <v>5555002.6799999997</v>
      </c>
      <c r="M103" s="262"/>
      <c r="N103" s="261">
        <f>SUM(N19:N102)</f>
        <v>125334544394</v>
      </c>
      <c r="O103" s="261">
        <f>SUM(O19:O102)</f>
        <v>43060904</v>
      </c>
      <c r="P103" s="261">
        <f>SUM(P19:P102)</f>
        <v>125291483490</v>
      </c>
      <c r="Q103" s="261"/>
      <c r="R103" s="261">
        <f>SUM(R19:R102)</f>
        <v>63351654.569391854</v>
      </c>
      <c r="S103" s="261">
        <f>SUM(S19:S102)</f>
        <v>121408085572.64801</v>
      </c>
      <c r="T103" s="261">
        <f>SUM(T19:T102)</f>
        <v>3820116635</v>
      </c>
      <c r="U103" s="262"/>
    </row>
    <row r="104" spans="1:21" ht="18.75" customHeight="1">
      <c r="A104" s="237"/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868"/>
      <c r="O104" s="868"/>
      <c r="P104" s="868"/>
      <c r="Q104" s="259"/>
      <c r="R104" s="259"/>
      <c r="S104" s="259"/>
      <c r="T104" s="869"/>
      <c r="U104" s="869"/>
    </row>
    <row r="105" spans="1:21" s="283" customFormat="1" ht="18.75" customHeight="1">
      <c r="A105" s="284"/>
      <c r="B105" s="281"/>
      <c r="C105" s="281"/>
      <c r="D105" s="281"/>
      <c r="E105" s="281"/>
      <c r="F105" s="284" t="s">
        <v>429</v>
      </c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5"/>
      <c r="R105" s="285"/>
      <c r="S105" s="285"/>
      <c r="T105" s="286"/>
      <c r="U105" s="286"/>
    </row>
    <row r="106" spans="1:21" s="283" customFormat="1" ht="18.75" customHeight="1">
      <c r="A106" s="281"/>
      <c r="B106" s="281"/>
      <c r="C106" s="281"/>
      <c r="D106" s="281"/>
      <c r="E106" s="281"/>
      <c r="F106" s="282" t="s">
        <v>430</v>
      </c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5"/>
      <c r="R106" s="285"/>
      <c r="S106" s="285"/>
      <c r="T106" s="286"/>
      <c r="U106" s="286"/>
    </row>
    <row r="107" spans="1:21" s="283" customFormat="1" ht="18" customHeight="1">
      <c r="A107" s="282"/>
      <c r="B107" s="282"/>
      <c r="C107" s="282"/>
      <c r="D107" s="282"/>
      <c r="E107" s="282"/>
      <c r="F107" s="287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  <c r="Q107" s="282"/>
      <c r="R107" s="282"/>
      <c r="S107" s="287"/>
      <c r="T107" s="282"/>
      <c r="U107" s="286"/>
    </row>
    <row r="108" spans="1:21" s="283" customFormat="1" ht="18" customHeight="1">
      <c r="A108" s="288"/>
      <c r="B108" s="288"/>
      <c r="C108" s="288"/>
      <c r="D108" s="288"/>
      <c r="E108" s="288"/>
      <c r="F108" s="288"/>
      <c r="G108" s="288"/>
      <c r="H108" s="288"/>
      <c r="I108" s="289" t="s">
        <v>431</v>
      </c>
      <c r="J108" s="288"/>
      <c r="K108" s="288"/>
      <c r="L108" s="288"/>
      <c r="M108" s="288"/>
      <c r="N108" s="288"/>
      <c r="O108" s="288"/>
      <c r="P108" s="288"/>
      <c r="Q108" s="288"/>
      <c r="R108" s="288"/>
      <c r="S108" s="287" t="s">
        <v>432</v>
      </c>
      <c r="T108" s="288"/>
      <c r="U108" s="290"/>
    </row>
    <row r="109" spans="1:21" s="283" customFormat="1" ht="18" customHeight="1"/>
  </sheetData>
  <mergeCells count="190">
    <mergeCell ref="T98:T101"/>
    <mergeCell ref="N104:P104"/>
    <mergeCell ref="T33:T38"/>
    <mergeCell ref="T39:T47"/>
    <mergeCell ref="T48:T57"/>
    <mergeCell ref="T58:T71"/>
    <mergeCell ref="T72:T83"/>
    <mergeCell ref="T104:U104"/>
    <mergeCell ref="O43:O47"/>
    <mergeCell ref="P43:P47"/>
    <mergeCell ref="N39:N42"/>
    <mergeCell ref="N43:N47"/>
    <mergeCell ref="N72:N77"/>
    <mergeCell ref="N78:N79"/>
    <mergeCell ref="O54:O57"/>
    <mergeCell ref="P54:P57"/>
    <mergeCell ref="N48:N53"/>
    <mergeCell ref="N54:N57"/>
    <mergeCell ref="P37:P38"/>
    <mergeCell ref="N37:N38"/>
    <mergeCell ref="P62:P63"/>
    <mergeCell ref="N58:N61"/>
    <mergeCell ref="O64:O67"/>
    <mergeCell ref="O39:O42"/>
    <mergeCell ref="M37:M38"/>
    <mergeCell ref="O37:O38"/>
    <mergeCell ref="N62:N63"/>
    <mergeCell ref="M48:M53"/>
    <mergeCell ref="M62:M63"/>
    <mergeCell ref="O62:O63"/>
    <mergeCell ref="T84:T95"/>
    <mergeCell ref="M72:M77"/>
    <mergeCell ref="O72:O77"/>
    <mergeCell ref="P72:P77"/>
    <mergeCell ref="M78:M79"/>
    <mergeCell ref="O78:O79"/>
    <mergeCell ref="P78:P79"/>
    <mergeCell ref="O48:O53"/>
    <mergeCell ref="P48:P53"/>
    <mergeCell ref="M54:M57"/>
    <mergeCell ref="P64:P67"/>
    <mergeCell ref="M68:M71"/>
    <mergeCell ref="O68:O71"/>
    <mergeCell ref="P68:P71"/>
    <mergeCell ref="N64:N67"/>
    <mergeCell ref="N68:N71"/>
    <mergeCell ref="O92:O97"/>
    <mergeCell ref="P92:P97"/>
    <mergeCell ref="T96:T97"/>
    <mergeCell ref="O19:O21"/>
    <mergeCell ref="P19:P21"/>
    <mergeCell ref="U17:U18"/>
    <mergeCell ref="A17:A18"/>
    <mergeCell ref="B17:B18"/>
    <mergeCell ref="C17:E17"/>
    <mergeCell ref="T17:T18"/>
    <mergeCell ref="T19:T23"/>
    <mergeCell ref="K19:K21"/>
    <mergeCell ref="K22:K23"/>
    <mergeCell ref="I19:I21"/>
    <mergeCell ref="I22:I23"/>
    <mergeCell ref="J19:J21"/>
    <mergeCell ref="J22:J23"/>
    <mergeCell ref="L19:L21"/>
    <mergeCell ref="L22:L23"/>
    <mergeCell ref="K86:K91"/>
    <mergeCell ref="I80:I85"/>
    <mergeCell ref="I86:I91"/>
    <mergeCell ref="J24:J25"/>
    <mergeCell ref="P39:P42"/>
    <mergeCell ref="L24:L25"/>
    <mergeCell ref="J68:J71"/>
    <mergeCell ref="O98:O101"/>
    <mergeCell ref="P98:P101"/>
    <mergeCell ref="K24:K25"/>
    <mergeCell ref="N92:N97"/>
    <mergeCell ref="N98:N101"/>
    <mergeCell ref="M80:M85"/>
    <mergeCell ref="O80:O85"/>
    <mergeCell ref="P80:P85"/>
    <mergeCell ref="M86:M91"/>
    <mergeCell ref="O86:O91"/>
    <mergeCell ref="P86:P91"/>
    <mergeCell ref="N80:N85"/>
    <mergeCell ref="N86:N91"/>
    <mergeCell ref="M33:M36"/>
    <mergeCell ref="N33:N36"/>
    <mergeCell ref="O33:O36"/>
    <mergeCell ref="P33:P36"/>
    <mergeCell ref="M58:M61"/>
    <mergeCell ref="O58:O61"/>
    <mergeCell ref="P58:P61"/>
    <mergeCell ref="N29:N32"/>
    <mergeCell ref="M29:M32"/>
    <mergeCell ref="O29:O32"/>
    <mergeCell ref="P29:P32"/>
    <mergeCell ref="K98:K101"/>
    <mergeCell ref="L39:L42"/>
    <mergeCell ref="M64:M67"/>
    <mergeCell ref="M98:M101"/>
    <mergeCell ref="I64:I67"/>
    <mergeCell ref="I43:I47"/>
    <mergeCell ref="K43:K47"/>
    <mergeCell ref="M39:M42"/>
    <mergeCell ref="I72:I77"/>
    <mergeCell ref="I78:I79"/>
    <mergeCell ref="L72:L77"/>
    <mergeCell ref="I68:I71"/>
    <mergeCell ref="M92:M97"/>
    <mergeCell ref="M43:M47"/>
    <mergeCell ref="K72:K77"/>
    <mergeCell ref="K78:K79"/>
    <mergeCell ref="K80:K85"/>
    <mergeCell ref="J64:J67"/>
    <mergeCell ref="L48:L53"/>
    <mergeCell ref="J78:J79"/>
    <mergeCell ref="L78:L79"/>
    <mergeCell ref="J58:J61"/>
    <mergeCell ref="L58:L61"/>
    <mergeCell ref="L68:L71"/>
    <mergeCell ref="K48:K53"/>
    <mergeCell ref="K54:K57"/>
    <mergeCell ref="K58:K61"/>
    <mergeCell ref="K62:K63"/>
    <mergeCell ref="K64:K67"/>
    <mergeCell ref="L64:L67"/>
    <mergeCell ref="J62:J63"/>
    <mergeCell ref="J37:J38"/>
    <mergeCell ref="L37:L38"/>
    <mergeCell ref="J39:J42"/>
    <mergeCell ref="L29:L32"/>
    <mergeCell ref="K29:K32"/>
    <mergeCell ref="K33:K36"/>
    <mergeCell ref="L33:L36"/>
    <mergeCell ref="I37:I38"/>
    <mergeCell ref="I39:I42"/>
    <mergeCell ref="I33:I36"/>
    <mergeCell ref="J33:J36"/>
    <mergeCell ref="K37:K38"/>
    <mergeCell ref="K39:K42"/>
    <mergeCell ref="I29:I32"/>
    <mergeCell ref="J29:J32"/>
    <mergeCell ref="A103:E103"/>
    <mergeCell ref="L62:L63"/>
    <mergeCell ref="J98:J101"/>
    <mergeCell ref="L98:L101"/>
    <mergeCell ref="J43:J47"/>
    <mergeCell ref="L43:L47"/>
    <mergeCell ref="J54:J57"/>
    <mergeCell ref="L54:L57"/>
    <mergeCell ref="J48:J53"/>
    <mergeCell ref="J72:J77"/>
    <mergeCell ref="I98:I101"/>
    <mergeCell ref="J86:J91"/>
    <mergeCell ref="L86:L91"/>
    <mergeCell ref="J80:J85"/>
    <mergeCell ref="L80:L85"/>
    <mergeCell ref="I92:I97"/>
    <mergeCell ref="I48:I53"/>
    <mergeCell ref="I54:I57"/>
    <mergeCell ref="I58:I61"/>
    <mergeCell ref="I62:I63"/>
    <mergeCell ref="J92:J97"/>
    <mergeCell ref="K92:K97"/>
    <mergeCell ref="L92:L97"/>
    <mergeCell ref="K68:K71"/>
    <mergeCell ref="T27:T32"/>
    <mergeCell ref="F17:I17"/>
    <mergeCell ref="Q17:S17"/>
    <mergeCell ref="J26:J28"/>
    <mergeCell ref="I26:I28"/>
    <mergeCell ref="K26:K28"/>
    <mergeCell ref="L26:L28"/>
    <mergeCell ref="M26:M28"/>
    <mergeCell ref="N26:N28"/>
    <mergeCell ref="O26:O28"/>
    <mergeCell ref="P26:P28"/>
    <mergeCell ref="M22:M23"/>
    <mergeCell ref="O22:O23"/>
    <mergeCell ref="P22:P23"/>
    <mergeCell ref="M24:M25"/>
    <mergeCell ref="O24:O25"/>
    <mergeCell ref="P24:P25"/>
    <mergeCell ref="I24:I25"/>
    <mergeCell ref="T24:T25"/>
    <mergeCell ref="N19:N21"/>
    <mergeCell ref="N22:N23"/>
    <mergeCell ref="N24:N25"/>
    <mergeCell ref="J17:P17"/>
    <mergeCell ref="M19:M21"/>
  </mergeCells>
  <pageMargins left="0.16" right="0.16" top="0.11" bottom="0.16" header="0.3" footer="0.16"/>
  <pageSetup paperSize="9"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552"/>
  <sheetViews>
    <sheetView topLeftCell="A326" zoomScale="90" zoomScaleNormal="90" workbookViewId="0">
      <selection activeCell="A330" sqref="A330:XFD343"/>
    </sheetView>
  </sheetViews>
  <sheetFormatPr defaultRowHeight="16.5"/>
  <cols>
    <col min="1" max="1" width="5.5703125" style="5" customWidth="1"/>
    <col min="2" max="2" width="39" style="5" customWidth="1"/>
    <col min="3" max="3" width="12.5703125" style="99" customWidth="1"/>
    <col min="4" max="4" width="13.85546875" style="7" customWidth="1"/>
    <col min="5" max="5" width="16.28515625" style="103" customWidth="1"/>
    <col min="6" max="6" width="2" style="5" customWidth="1"/>
    <col min="7" max="7" width="9.7109375" style="3" customWidth="1"/>
    <col min="8" max="8" width="9.140625" style="3" customWidth="1"/>
    <col min="9" max="9" width="18.85546875" style="3" customWidth="1"/>
    <col min="10" max="10" width="9" style="3" customWidth="1"/>
    <col min="11" max="12" width="9.85546875" style="3" customWidth="1"/>
    <col min="13" max="13" width="11.140625" style="3" customWidth="1"/>
    <col min="14" max="14" width="13.28515625" style="3" customWidth="1"/>
    <col min="15" max="16384" width="9.140625" style="5"/>
  </cols>
  <sheetData>
    <row r="1" spans="1:15" ht="43.5" customHeight="1">
      <c r="A1" s="879" t="s">
        <v>77</v>
      </c>
      <c r="B1" s="879"/>
      <c r="C1" s="879"/>
      <c r="D1" s="879"/>
      <c r="E1" s="879"/>
      <c r="F1" s="87"/>
      <c r="G1" s="2"/>
      <c r="H1" s="2"/>
    </row>
    <row r="2" spans="1:15" s="25" customFormat="1" ht="17.25" customHeight="1">
      <c r="B2" s="40"/>
      <c r="C2" s="94"/>
      <c r="D2" s="86"/>
      <c r="E2" s="100"/>
      <c r="F2" s="44"/>
      <c r="G2" s="45" t="s">
        <v>29</v>
      </c>
      <c r="I2" s="91"/>
    </row>
    <row r="3" spans="1:15" s="90" customFormat="1" ht="36.75" customHeight="1">
      <c r="A3" s="47" t="s">
        <v>0</v>
      </c>
      <c r="B3" s="47" t="s">
        <v>21</v>
      </c>
      <c r="C3" s="95" t="s">
        <v>7</v>
      </c>
      <c r="D3" s="49" t="s">
        <v>8</v>
      </c>
      <c r="E3" s="49" t="s">
        <v>9</v>
      </c>
      <c r="G3" s="47" t="s">
        <v>30</v>
      </c>
      <c r="H3" s="47" t="s">
        <v>31</v>
      </c>
      <c r="I3" s="47" t="s">
        <v>103</v>
      </c>
      <c r="J3" s="47" t="s">
        <v>32</v>
      </c>
      <c r="K3" s="47" t="s">
        <v>83</v>
      </c>
      <c r="L3" s="46" t="s">
        <v>33</v>
      </c>
      <c r="M3" s="49" t="s">
        <v>106</v>
      </c>
      <c r="N3" s="49" t="s">
        <v>9</v>
      </c>
    </row>
    <row r="4" spans="1:15" ht="20.25" customHeight="1">
      <c r="A4" s="50">
        <f>ROW()-3</f>
        <v>1</v>
      </c>
      <c r="B4" s="51" t="s">
        <v>35</v>
      </c>
      <c r="C4" s="96">
        <v>52000</v>
      </c>
      <c r="D4" s="53">
        <v>300</v>
      </c>
      <c r="E4" s="101">
        <f t="shared" ref="E4:E15" si="0">C4*D4</f>
        <v>15600000</v>
      </c>
      <c r="G4" s="64">
        <v>42594</v>
      </c>
      <c r="H4" s="64"/>
      <c r="I4" s="56" t="s">
        <v>104</v>
      </c>
      <c r="J4" s="56" t="str">
        <f>IF(H4&lt;&gt;"",H4-G4+1,"")</f>
        <v/>
      </c>
      <c r="K4" s="56">
        <v>20</v>
      </c>
      <c r="L4" s="88">
        <f t="shared" ref="L4:L9" si="1">K4*13</f>
        <v>260</v>
      </c>
      <c r="M4" s="58"/>
      <c r="N4" s="58" t="str">
        <f>IF(J4&lt;&gt;"",M4*L4*J4/1000,"")</f>
        <v/>
      </c>
      <c r="O4" s="59"/>
    </row>
    <row r="5" spans="1:15" ht="20.25" customHeight="1">
      <c r="A5" s="60">
        <f t="shared" ref="A5:A15" si="2">ROW()-3</f>
        <v>2</v>
      </c>
      <c r="B5" s="61" t="s">
        <v>37</v>
      </c>
      <c r="C5" s="97">
        <v>2</v>
      </c>
      <c r="D5" s="63">
        <v>2000000</v>
      </c>
      <c r="E5" s="102">
        <f t="shared" si="0"/>
        <v>4000000</v>
      </c>
      <c r="G5" s="64">
        <v>42594</v>
      </c>
      <c r="H5" s="64"/>
      <c r="I5" s="56" t="s">
        <v>105</v>
      </c>
      <c r="J5" s="56" t="str">
        <f t="shared" ref="J5:J15" si="3">IF(H5&lt;&gt;"",H5-G5+1,"")</f>
        <v/>
      </c>
      <c r="K5" s="56">
        <v>8</v>
      </c>
      <c r="L5" s="88">
        <f t="shared" si="1"/>
        <v>104</v>
      </c>
      <c r="M5" s="58"/>
      <c r="N5" s="58" t="str">
        <f t="shared" ref="N5:N15" si="4">IF(J5&lt;&gt;"",M5*L5*J5/1000,"")</f>
        <v/>
      </c>
      <c r="O5" s="59"/>
    </row>
    <row r="6" spans="1:15" ht="20.25" customHeight="1">
      <c r="A6" s="60">
        <f t="shared" si="2"/>
        <v>3</v>
      </c>
      <c r="B6" s="61" t="s">
        <v>38</v>
      </c>
      <c r="C6" s="97">
        <v>2</v>
      </c>
      <c r="D6" s="63">
        <v>2000000</v>
      </c>
      <c r="E6" s="102">
        <f t="shared" si="0"/>
        <v>4000000</v>
      </c>
      <c r="G6" s="64"/>
      <c r="H6" s="64"/>
      <c r="I6" s="56" t="s">
        <v>111</v>
      </c>
      <c r="J6" s="56" t="str">
        <f t="shared" si="3"/>
        <v/>
      </c>
      <c r="K6" s="56">
        <v>-8</v>
      </c>
      <c r="L6" s="88">
        <f t="shared" si="1"/>
        <v>-104</v>
      </c>
      <c r="M6" s="58"/>
      <c r="N6" s="58" t="str">
        <f t="shared" si="4"/>
        <v/>
      </c>
      <c r="O6" s="59"/>
    </row>
    <row r="7" spans="1:15" ht="20.25" customHeight="1">
      <c r="A7" s="60">
        <f t="shared" si="2"/>
        <v>4</v>
      </c>
      <c r="B7" s="61" t="s">
        <v>39</v>
      </c>
      <c r="C7" s="97">
        <v>2</v>
      </c>
      <c r="D7" s="63">
        <v>600000</v>
      </c>
      <c r="E7" s="102">
        <f t="shared" si="0"/>
        <v>1200000</v>
      </c>
      <c r="G7" s="64">
        <v>42710</v>
      </c>
      <c r="H7" s="64"/>
      <c r="I7" s="137" t="s">
        <v>201</v>
      </c>
      <c r="J7" s="56" t="str">
        <f t="shared" si="3"/>
        <v/>
      </c>
      <c r="K7" s="56">
        <v>3</v>
      </c>
      <c r="L7" s="88">
        <f t="shared" si="1"/>
        <v>39</v>
      </c>
      <c r="M7" s="58"/>
      <c r="N7" s="58" t="str">
        <f t="shared" si="4"/>
        <v/>
      </c>
      <c r="O7" s="59"/>
    </row>
    <row r="8" spans="1:15" ht="20.25" customHeight="1">
      <c r="A8" s="60">
        <f t="shared" si="2"/>
        <v>5</v>
      </c>
      <c r="B8" s="61" t="s">
        <v>75</v>
      </c>
      <c r="C8" s="97">
        <v>2</v>
      </c>
      <c r="D8" s="63">
        <v>16725000</v>
      </c>
      <c r="E8" s="102">
        <f>C8*D8</f>
        <v>33450000</v>
      </c>
      <c r="G8" s="64">
        <v>42737</v>
      </c>
      <c r="H8" s="64"/>
      <c r="I8" s="56" t="s">
        <v>375</v>
      </c>
      <c r="J8" s="56"/>
      <c r="K8" s="56">
        <v>11</v>
      </c>
      <c r="L8" s="88">
        <f t="shared" si="1"/>
        <v>143</v>
      </c>
      <c r="M8" s="58"/>
      <c r="N8" s="58" t="str">
        <f t="shared" si="4"/>
        <v/>
      </c>
      <c r="O8" s="59"/>
    </row>
    <row r="9" spans="1:15" ht="20.25" customHeight="1">
      <c r="A9" s="60">
        <f t="shared" si="2"/>
        <v>6</v>
      </c>
      <c r="B9" s="61" t="s">
        <v>41</v>
      </c>
      <c r="C9" s="97">
        <v>2</v>
      </c>
      <c r="D9" s="63">
        <v>7378778</v>
      </c>
      <c r="E9" s="102">
        <f t="shared" si="0"/>
        <v>14757556</v>
      </c>
      <c r="G9" s="64"/>
      <c r="H9" s="64"/>
      <c r="I9" s="56"/>
      <c r="J9" s="56" t="str">
        <f t="shared" si="3"/>
        <v/>
      </c>
      <c r="K9" s="56"/>
      <c r="L9" s="88">
        <f t="shared" si="1"/>
        <v>0</v>
      </c>
      <c r="M9" s="58"/>
      <c r="N9" s="58" t="str">
        <f t="shared" si="4"/>
        <v/>
      </c>
      <c r="O9" s="59"/>
    </row>
    <row r="10" spans="1:15" ht="20.25" customHeight="1">
      <c r="A10" s="60">
        <f t="shared" si="2"/>
        <v>7</v>
      </c>
      <c r="B10" s="61" t="s">
        <v>76</v>
      </c>
      <c r="C10" s="97">
        <v>1</v>
      </c>
      <c r="D10" s="63">
        <v>13466740</v>
      </c>
      <c r="E10" s="102">
        <f t="shared" si="0"/>
        <v>13466740</v>
      </c>
      <c r="G10" s="64"/>
      <c r="H10" s="64"/>
      <c r="I10" s="56"/>
      <c r="J10" s="56" t="str">
        <f t="shared" si="3"/>
        <v/>
      </c>
      <c r="K10" s="56"/>
      <c r="L10" s="88"/>
      <c r="M10" s="58"/>
      <c r="N10" s="58" t="str">
        <f t="shared" si="4"/>
        <v/>
      </c>
      <c r="O10" s="59"/>
    </row>
    <row r="11" spans="1:15" ht="20.25" customHeight="1">
      <c r="A11" s="60">
        <f t="shared" si="2"/>
        <v>8</v>
      </c>
      <c r="B11" s="61" t="s">
        <v>107</v>
      </c>
      <c r="C11" s="97">
        <v>1</v>
      </c>
      <c r="D11" s="63">
        <v>5600000</v>
      </c>
      <c r="E11" s="102">
        <f t="shared" si="0"/>
        <v>5600000</v>
      </c>
      <c r="G11" s="64"/>
      <c r="H11" s="64"/>
      <c r="I11" s="56"/>
      <c r="J11" s="56" t="str">
        <f t="shared" si="3"/>
        <v/>
      </c>
      <c r="K11" s="56"/>
      <c r="L11" s="88"/>
      <c r="M11" s="58"/>
      <c r="N11" s="58" t="str">
        <f t="shared" si="4"/>
        <v/>
      </c>
      <c r="O11" s="59"/>
    </row>
    <row r="12" spans="1:15" ht="20.25" customHeight="1">
      <c r="A12" s="60">
        <f t="shared" si="2"/>
        <v>9</v>
      </c>
      <c r="B12" s="61" t="s">
        <v>43</v>
      </c>
      <c r="C12" s="97">
        <v>2</v>
      </c>
      <c r="D12" s="63">
        <f>88*22500</f>
        <v>1980000</v>
      </c>
      <c r="E12" s="102">
        <f t="shared" si="0"/>
        <v>3960000</v>
      </c>
      <c r="G12" s="64"/>
      <c r="H12" s="64"/>
      <c r="I12" s="56"/>
      <c r="J12" s="56" t="str">
        <f t="shared" si="3"/>
        <v/>
      </c>
      <c r="K12" s="56"/>
      <c r="L12" s="88"/>
      <c r="M12" s="58"/>
      <c r="N12" s="58" t="str">
        <f t="shared" si="4"/>
        <v/>
      </c>
      <c r="O12" s="59"/>
    </row>
    <row r="13" spans="1:15" ht="20.25" customHeight="1">
      <c r="A13" s="60">
        <f t="shared" si="2"/>
        <v>10</v>
      </c>
      <c r="B13" s="61" t="s">
        <v>44</v>
      </c>
      <c r="C13" s="97">
        <v>2</v>
      </c>
      <c r="D13" s="63">
        <v>1350000</v>
      </c>
      <c r="E13" s="102">
        <f t="shared" si="0"/>
        <v>2700000</v>
      </c>
      <c r="G13" s="64"/>
      <c r="H13" s="64"/>
      <c r="I13" s="56"/>
      <c r="J13" s="56" t="str">
        <f t="shared" si="3"/>
        <v/>
      </c>
      <c r="K13" s="56"/>
      <c r="L13" s="88"/>
      <c r="M13" s="58"/>
      <c r="N13" s="58" t="str">
        <f t="shared" si="4"/>
        <v/>
      </c>
      <c r="O13" s="59"/>
    </row>
    <row r="14" spans="1:15" ht="20.25" customHeight="1">
      <c r="A14" s="60">
        <f t="shared" si="2"/>
        <v>11</v>
      </c>
      <c r="B14" s="61" t="s">
        <v>79</v>
      </c>
      <c r="C14" s="97">
        <v>2</v>
      </c>
      <c r="D14" s="63">
        <v>2500000</v>
      </c>
      <c r="E14" s="102">
        <f t="shared" si="0"/>
        <v>5000000</v>
      </c>
      <c r="G14" s="64"/>
      <c r="H14" s="64"/>
      <c r="I14" s="56"/>
      <c r="J14" s="56" t="str">
        <f t="shared" si="3"/>
        <v/>
      </c>
      <c r="K14" s="56"/>
      <c r="L14" s="88"/>
      <c r="M14" s="58"/>
      <c r="N14" s="58" t="str">
        <f t="shared" si="4"/>
        <v/>
      </c>
      <c r="O14" s="59"/>
    </row>
    <row r="15" spans="1:15" ht="20.25" customHeight="1">
      <c r="A15" s="60">
        <f t="shared" si="2"/>
        <v>12</v>
      </c>
      <c r="B15" s="61" t="s">
        <v>45</v>
      </c>
      <c r="C15" s="97">
        <v>52</v>
      </c>
      <c r="D15" s="63">
        <v>50000</v>
      </c>
      <c r="E15" s="102">
        <f t="shared" si="0"/>
        <v>2600000</v>
      </c>
      <c r="G15" s="64"/>
      <c r="H15" s="64"/>
      <c r="I15" s="56"/>
      <c r="J15" s="56" t="str">
        <f t="shared" si="3"/>
        <v/>
      </c>
      <c r="K15" s="56"/>
      <c r="L15" s="88"/>
      <c r="M15" s="58"/>
      <c r="N15" s="58" t="str">
        <f t="shared" si="4"/>
        <v/>
      </c>
      <c r="O15" s="59"/>
    </row>
    <row r="16" spans="1:15" ht="8.25" customHeight="1">
      <c r="A16" s="60"/>
      <c r="B16" s="61"/>
      <c r="C16" s="97"/>
      <c r="D16" s="63"/>
      <c r="E16" s="102"/>
      <c r="G16" s="64"/>
      <c r="H16" s="64"/>
      <c r="I16" s="56"/>
      <c r="J16" s="56"/>
      <c r="K16" s="56"/>
      <c r="L16" s="88"/>
      <c r="M16" s="58"/>
      <c r="N16" s="58"/>
    </row>
    <row r="17" spans="1:15" ht="20.25" customHeight="1">
      <c r="A17" s="70"/>
      <c r="B17" s="70" t="s">
        <v>48</v>
      </c>
      <c r="C17" s="98"/>
      <c r="D17" s="72"/>
      <c r="E17" s="74">
        <f>SUM(E4:E16)</f>
        <v>106334296</v>
      </c>
      <c r="F17" s="4"/>
      <c r="G17" s="73"/>
      <c r="H17" s="73"/>
      <c r="I17" s="73" t="s">
        <v>48</v>
      </c>
      <c r="J17" s="73"/>
      <c r="K17" s="89">
        <f>SUM(K4:K16)</f>
        <v>34</v>
      </c>
      <c r="L17" s="89">
        <f t="shared" ref="L17" si="5">SUM(L4:L16)</f>
        <v>442</v>
      </c>
      <c r="M17" s="89"/>
      <c r="N17" s="74">
        <f>SUM(N4:N16)</f>
        <v>0</v>
      </c>
    </row>
    <row r="18" spans="1:15" ht="9" customHeight="1">
      <c r="G18" s="5"/>
      <c r="H18" s="5"/>
      <c r="J18" s="5"/>
      <c r="K18" s="5"/>
      <c r="L18" s="5"/>
      <c r="M18" s="5"/>
      <c r="N18" s="5"/>
    </row>
    <row r="19" spans="1:15" s="3" customFormat="1">
      <c r="A19" s="5"/>
      <c r="B19" s="5"/>
      <c r="C19" s="99"/>
      <c r="D19" s="7" t="s">
        <v>49</v>
      </c>
      <c r="E19" s="103">
        <f>E17/C4</f>
        <v>2044.8903076923077</v>
      </c>
      <c r="F19" s="5"/>
      <c r="G19" s="5"/>
      <c r="H19" s="5"/>
      <c r="J19" s="5"/>
      <c r="K19" s="5"/>
      <c r="L19" s="5"/>
      <c r="M19" s="5"/>
      <c r="N19" s="5"/>
    </row>
    <row r="21" spans="1:15" ht="43.5" customHeight="1">
      <c r="A21" s="879" t="s">
        <v>97</v>
      </c>
      <c r="B21" s="879"/>
      <c r="C21" s="879"/>
      <c r="D21" s="879"/>
      <c r="E21" s="879"/>
      <c r="F21" s="87"/>
      <c r="G21" s="2"/>
      <c r="H21" s="2"/>
    </row>
    <row r="22" spans="1:15" s="25" customFormat="1" ht="17.25" customHeight="1">
      <c r="B22" s="40"/>
      <c r="C22" s="94"/>
      <c r="D22" s="86"/>
      <c r="E22" s="100"/>
      <c r="F22" s="44"/>
      <c r="G22" s="45" t="s">
        <v>29</v>
      </c>
      <c r="I22" s="91"/>
    </row>
    <row r="23" spans="1:15" s="85" customFormat="1" ht="36.75" customHeight="1">
      <c r="A23" s="83" t="s">
        <v>0</v>
      </c>
      <c r="B23" s="83" t="s">
        <v>21</v>
      </c>
      <c r="C23" s="95" t="s">
        <v>7</v>
      </c>
      <c r="D23" s="84" t="s">
        <v>8</v>
      </c>
      <c r="E23" s="49" t="s">
        <v>9</v>
      </c>
      <c r="G23" s="47" t="s">
        <v>30</v>
      </c>
      <c r="H23" s="47" t="s">
        <v>31</v>
      </c>
      <c r="I23" s="47" t="s">
        <v>103</v>
      </c>
      <c r="J23" s="47" t="s">
        <v>32</v>
      </c>
      <c r="K23" s="47" t="s">
        <v>83</v>
      </c>
      <c r="L23" s="46" t="s">
        <v>33</v>
      </c>
      <c r="M23" s="49" t="s">
        <v>106</v>
      </c>
      <c r="N23" s="49" t="s">
        <v>9</v>
      </c>
    </row>
    <row r="24" spans="1:15" ht="19.5" customHeight="1">
      <c r="A24" s="60">
        <f>ROW()-23</f>
        <v>1</v>
      </c>
      <c r="B24" s="61" t="s">
        <v>45</v>
      </c>
      <c r="C24" s="97">
        <f>L28</f>
        <v>26260</v>
      </c>
      <c r="D24" s="63">
        <v>50</v>
      </c>
      <c r="E24" s="102">
        <f t="shared" ref="E24" si="6">C24*D24</f>
        <v>1313000</v>
      </c>
      <c r="G24" s="64">
        <v>42672</v>
      </c>
      <c r="H24" s="64">
        <v>42674</v>
      </c>
      <c r="I24" s="56" t="s">
        <v>87</v>
      </c>
      <c r="J24" s="56">
        <f>IF(H24&lt;&gt;"",H24-G24+1,"")</f>
        <v>3</v>
      </c>
      <c r="K24" s="56">
        <f>443-8</f>
        <v>435</v>
      </c>
      <c r="L24" s="88">
        <f t="shared" ref="L24:L26" si="7">K24*13</f>
        <v>5655</v>
      </c>
      <c r="M24" s="58">
        <v>20000</v>
      </c>
      <c r="N24" s="58">
        <f>IF(J24&lt;&gt;"",M24*L24*J24/1000,"")</f>
        <v>339300</v>
      </c>
      <c r="O24" s="59"/>
    </row>
    <row r="25" spans="1:15" ht="19.5" customHeight="1">
      <c r="A25" s="60">
        <f t="shared" ref="A25:A26" si="8">ROW()-23</f>
        <v>2</v>
      </c>
      <c r="B25" s="61" t="s">
        <v>122</v>
      </c>
      <c r="C25" s="97">
        <v>1</v>
      </c>
      <c r="D25" s="63">
        <v>2500000</v>
      </c>
      <c r="E25" s="102">
        <f t="shared" ref="E25" si="9">C25*D25</f>
        <v>2500000</v>
      </c>
      <c r="G25" s="64">
        <v>42672</v>
      </c>
      <c r="H25" s="64">
        <v>42674</v>
      </c>
      <c r="I25" s="56" t="s">
        <v>88</v>
      </c>
      <c r="J25" s="56">
        <f t="shared" ref="J25:J26" si="10">IF(H25&lt;&gt;"",H25-G25+1,"")</f>
        <v>3</v>
      </c>
      <c r="K25" s="56">
        <v>426</v>
      </c>
      <c r="L25" s="88">
        <f t="shared" si="7"/>
        <v>5538</v>
      </c>
      <c r="M25" s="58">
        <v>20000</v>
      </c>
      <c r="N25" s="58">
        <f t="shared" ref="N25:N26" si="11">IF(J25&lt;&gt;"",M25*L25*J25/1000,"")</f>
        <v>332280</v>
      </c>
      <c r="O25" s="59"/>
    </row>
    <row r="26" spans="1:15" ht="19.5" customHeight="1">
      <c r="A26" s="60">
        <f t="shared" si="8"/>
        <v>3</v>
      </c>
      <c r="B26" s="61" t="s">
        <v>46</v>
      </c>
      <c r="C26" s="97"/>
      <c r="D26" s="63"/>
      <c r="E26" s="102">
        <f>N28</f>
        <v>1274260</v>
      </c>
      <c r="G26" s="64">
        <v>42673</v>
      </c>
      <c r="H26" s="64">
        <v>42674</v>
      </c>
      <c r="I26" s="56" t="s">
        <v>89</v>
      </c>
      <c r="J26" s="56">
        <f t="shared" si="10"/>
        <v>2</v>
      </c>
      <c r="K26" s="56">
        <v>1159</v>
      </c>
      <c r="L26" s="88">
        <f t="shared" si="7"/>
        <v>15067</v>
      </c>
      <c r="M26" s="58">
        <v>20000</v>
      </c>
      <c r="N26" s="58">
        <f t="shared" si="11"/>
        <v>602680</v>
      </c>
      <c r="O26" s="59"/>
    </row>
    <row r="27" spans="1:15" ht="9.75" customHeight="1">
      <c r="A27" s="60"/>
      <c r="B27" s="61"/>
      <c r="C27" s="97"/>
      <c r="D27" s="63"/>
      <c r="E27" s="102"/>
      <c r="G27" s="66"/>
      <c r="H27" s="66"/>
      <c r="I27" s="67"/>
      <c r="J27" s="67"/>
      <c r="K27" s="67"/>
      <c r="L27" s="68"/>
      <c r="M27" s="69"/>
      <c r="N27" s="69"/>
    </row>
    <row r="28" spans="1:15" ht="19.5" customHeight="1">
      <c r="A28" s="70"/>
      <c r="B28" s="70" t="s">
        <v>48</v>
      </c>
      <c r="C28" s="98"/>
      <c r="D28" s="72"/>
      <c r="E28" s="74">
        <f>SUM(E24:E27)</f>
        <v>5087260</v>
      </c>
      <c r="F28" s="4"/>
      <c r="G28" s="73"/>
      <c r="H28" s="73"/>
      <c r="I28" s="73" t="s">
        <v>48</v>
      </c>
      <c r="J28" s="73"/>
      <c r="K28" s="89">
        <f>SUM(K24:K27)</f>
        <v>2020</v>
      </c>
      <c r="L28" s="89">
        <f>SUM(L24:L27)</f>
        <v>26260</v>
      </c>
      <c r="M28" s="74"/>
      <c r="N28" s="74">
        <f>SUM(N24:N27)</f>
        <v>1274260</v>
      </c>
    </row>
    <row r="29" spans="1:15" ht="8.25" customHeight="1"/>
    <row r="30" spans="1:15" s="3" customFormat="1">
      <c r="A30" s="5"/>
      <c r="B30" s="5"/>
      <c r="C30" s="99"/>
      <c r="D30" s="7" t="s">
        <v>49</v>
      </c>
      <c r="E30" s="103">
        <f>E28/C24</f>
        <v>193.72658035034272</v>
      </c>
      <c r="F30" s="5"/>
    </row>
    <row r="31" spans="1:15" ht="26.25" customHeight="1"/>
    <row r="32" spans="1:15" ht="43.5" customHeight="1">
      <c r="A32" s="879" t="s">
        <v>78</v>
      </c>
      <c r="B32" s="879"/>
      <c r="C32" s="879"/>
      <c r="D32" s="879"/>
      <c r="E32" s="879"/>
      <c r="F32" s="87"/>
      <c r="G32" s="2"/>
      <c r="H32" s="2"/>
    </row>
    <row r="33" spans="1:15" s="25" customFormat="1" ht="17.25" customHeight="1">
      <c r="B33" s="40"/>
      <c r="C33" s="94"/>
      <c r="D33" s="86"/>
      <c r="E33" s="100"/>
      <c r="F33" s="44"/>
      <c r="G33" s="45" t="s">
        <v>29</v>
      </c>
      <c r="I33" s="91"/>
    </row>
    <row r="34" spans="1:15" s="85" customFormat="1" ht="36.75" customHeight="1">
      <c r="A34" s="83" t="s">
        <v>0</v>
      </c>
      <c r="B34" s="83" t="s">
        <v>21</v>
      </c>
      <c r="C34" s="95" t="s">
        <v>7</v>
      </c>
      <c r="D34" s="84" t="s">
        <v>8</v>
      </c>
      <c r="E34" s="49" t="s">
        <v>9</v>
      </c>
      <c r="G34" s="47" t="s">
        <v>30</v>
      </c>
      <c r="H34" s="47" t="s">
        <v>31</v>
      </c>
      <c r="I34" s="47" t="s">
        <v>103</v>
      </c>
      <c r="J34" s="47" t="s">
        <v>32</v>
      </c>
      <c r="K34" s="47" t="s">
        <v>83</v>
      </c>
      <c r="L34" s="46" t="s">
        <v>33</v>
      </c>
      <c r="M34" s="49" t="s">
        <v>106</v>
      </c>
      <c r="N34" s="49" t="s">
        <v>9</v>
      </c>
    </row>
    <row r="35" spans="1:15" ht="18.75" customHeight="1">
      <c r="A35" s="60">
        <f>ROW()-34</f>
        <v>1</v>
      </c>
      <c r="B35" s="51" t="s">
        <v>35</v>
      </c>
      <c r="C35" s="96">
        <f>26000*6</f>
        <v>156000</v>
      </c>
      <c r="D35" s="53">
        <v>300</v>
      </c>
      <c r="E35" s="101">
        <f t="shared" ref="E35:E38" si="12">C35*D35</f>
        <v>46800000</v>
      </c>
      <c r="G35" s="64">
        <v>42668</v>
      </c>
      <c r="H35" s="64">
        <v>42673</v>
      </c>
      <c r="I35" s="56" t="s">
        <v>84</v>
      </c>
      <c r="J35" s="56">
        <f>IF(H35&lt;&gt;"",H35-G35+1,"")</f>
        <v>6</v>
      </c>
      <c r="K35" s="56">
        <v>220</v>
      </c>
      <c r="L35" s="88">
        <f>K35*13</f>
        <v>2860</v>
      </c>
      <c r="M35" s="58">
        <v>20000</v>
      </c>
      <c r="N35" s="58">
        <f>IF(J35&lt;&gt;"",M35*L35*J35/1000,"")</f>
        <v>343200</v>
      </c>
      <c r="O35" s="59"/>
    </row>
    <row r="36" spans="1:15" ht="18.75" customHeight="1">
      <c r="A36" s="60">
        <f t="shared" ref="A36:A46" si="13">ROW()-34</f>
        <v>2</v>
      </c>
      <c r="B36" s="61" t="s">
        <v>37</v>
      </c>
      <c r="C36" s="97">
        <v>6</v>
      </c>
      <c r="D36" s="63">
        <v>2000000</v>
      </c>
      <c r="E36" s="102">
        <f t="shared" si="12"/>
        <v>12000000</v>
      </c>
      <c r="G36" s="64">
        <v>42670</v>
      </c>
      <c r="H36" s="64">
        <v>42673</v>
      </c>
      <c r="I36" s="56" t="s">
        <v>84</v>
      </c>
      <c r="J36" s="56">
        <f t="shared" ref="J36:J49" si="14">IF(H36&lt;&gt;"",H36-G36+1,"")</f>
        <v>4</v>
      </c>
      <c r="K36" s="56">
        <v>419</v>
      </c>
      <c r="L36" s="88">
        <f t="shared" ref="L36:L40" si="15">K36*13</f>
        <v>5447</v>
      </c>
      <c r="M36" s="58">
        <v>20000</v>
      </c>
      <c r="N36" s="58">
        <f t="shared" ref="N36:N49" si="16">IF(J36&lt;&gt;"",M36*L36*J36/1000,"")</f>
        <v>435760</v>
      </c>
      <c r="O36" s="59"/>
    </row>
    <row r="37" spans="1:15" ht="18.75" customHeight="1">
      <c r="A37" s="60">
        <f t="shared" si="13"/>
        <v>3</v>
      </c>
      <c r="B37" s="61" t="s">
        <v>38</v>
      </c>
      <c r="C37" s="97">
        <v>6</v>
      </c>
      <c r="D37" s="63">
        <v>2000000</v>
      </c>
      <c r="E37" s="102">
        <f t="shared" si="12"/>
        <v>12000000</v>
      </c>
      <c r="G37" s="64">
        <v>42671</v>
      </c>
      <c r="H37" s="64">
        <v>42673</v>
      </c>
      <c r="I37" s="56" t="s">
        <v>85</v>
      </c>
      <c r="J37" s="56">
        <f t="shared" si="14"/>
        <v>3</v>
      </c>
      <c r="K37" s="56">
        <v>445</v>
      </c>
      <c r="L37" s="88">
        <f t="shared" si="15"/>
        <v>5785</v>
      </c>
      <c r="M37" s="58">
        <v>20000</v>
      </c>
      <c r="N37" s="58">
        <f t="shared" si="16"/>
        <v>347100</v>
      </c>
      <c r="O37" s="59"/>
    </row>
    <row r="38" spans="1:15" ht="18.75" customHeight="1">
      <c r="A38" s="60">
        <f t="shared" si="13"/>
        <v>4</v>
      </c>
      <c r="B38" s="61" t="s">
        <v>39</v>
      </c>
      <c r="C38" s="97">
        <v>6</v>
      </c>
      <c r="D38" s="63">
        <v>600000</v>
      </c>
      <c r="E38" s="102">
        <f t="shared" si="12"/>
        <v>3600000</v>
      </c>
      <c r="G38" s="64">
        <v>42672</v>
      </c>
      <c r="H38" s="64">
        <v>42673</v>
      </c>
      <c r="I38" s="56" t="s">
        <v>86</v>
      </c>
      <c r="J38" s="56">
        <f t="shared" si="14"/>
        <v>2</v>
      </c>
      <c r="K38" s="56">
        <v>398</v>
      </c>
      <c r="L38" s="88">
        <f t="shared" si="15"/>
        <v>5174</v>
      </c>
      <c r="M38" s="58">
        <v>20000</v>
      </c>
      <c r="N38" s="58">
        <f t="shared" si="16"/>
        <v>206960</v>
      </c>
      <c r="O38" s="59"/>
    </row>
    <row r="39" spans="1:15" ht="18.75" customHeight="1">
      <c r="A39" s="60">
        <f t="shared" si="13"/>
        <v>5</v>
      </c>
      <c r="B39" s="61" t="s">
        <v>75</v>
      </c>
      <c r="C39" s="97">
        <v>6</v>
      </c>
      <c r="D39" s="63">
        <v>16725000</v>
      </c>
      <c r="E39" s="102">
        <f>C39*D39</f>
        <v>100350000</v>
      </c>
      <c r="G39" s="64">
        <v>42672</v>
      </c>
      <c r="H39" s="64">
        <v>42673</v>
      </c>
      <c r="I39" s="56" t="s">
        <v>84</v>
      </c>
      <c r="J39" s="56">
        <f t="shared" si="14"/>
        <v>2</v>
      </c>
      <c r="K39" s="56">
        <v>510</v>
      </c>
      <c r="L39" s="88">
        <f t="shared" si="15"/>
        <v>6630</v>
      </c>
      <c r="M39" s="58">
        <v>20000</v>
      </c>
      <c r="N39" s="58">
        <f t="shared" si="16"/>
        <v>265200</v>
      </c>
      <c r="O39" s="59"/>
    </row>
    <row r="40" spans="1:15" ht="18.75" customHeight="1">
      <c r="A40" s="60">
        <f t="shared" si="13"/>
        <v>6</v>
      </c>
      <c r="B40" s="61" t="s">
        <v>41</v>
      </c>
      <c r="C40" s="97">
        <v>6</v>
      </c>
      <c r="D40" s="63">
        <v>7378778</v>
      </c>
      <c r="E40" s="102">
        <f t="shared" ref="E40:E42" si="17">C40*D40</f>
        <v>44272668</v>
      </c>
      <c r="G40" s="64">
        <v>42672</v>
      </c>
      <c r="H40" s="64">
        <v>42673</v>
      </c>
      <c r="I40" s="56" t="s">
        <v>87</v>
      </c>
      <c r="J40" s="56">
        <f t="shared" si="14"/>
        <v>2</v>
      </c>
      <c r="K40" s="56">
        <v>8</v>
      </c>
      <c r="L40" s="88">
        <f t="shared" si="15"/>
        <v>104</v>
      </c>
      <c r="M40" s="58">
        <v>20000</v>
      </c>
      <c r="N40" s="58">
        <f t="shared" si="16"/>
        <v>4160</v>
      </c>
      <c r="O40" s="59"/>
    </row>
    <row r="41" spans="1:15" ht="18.75" customHeight="1">
      <c r="A41" s="60">
        <f t="shared" si="13"/>
        <v>7</v>
      </c>
      <c r="B41" s="61" t="s">
        <v>42</v>
      </c>
      <c r="C41" s="97">
        <v>6</v>
      </c>
      <c r="D41" s="63">
        <v>5600000</v>
      </c>
      <c r="E41" s="102">
        <f t="shared" si="17"/>
        <v>33600000</v>
      </c>
      <c r="G41" s="64">
        <v>42673</v>
      </c>
      <c r="H41" s="64">
        <v>42677</v>
      </c>
      <c r="I41" s="56" t="s">
        <v>89</v>
      </c>
      <c r="J41" s="56">
        <f t="shared" si="14"/>
        <v>5</v>
      </c>
      <c r="K41" s="56">
        <v>841</v>
      </c>
      <c r="L41" s="88">
        <f t="shared" ref="L41:L49" si="18">K41*13</f>
        <v>10933</v>
      </c>
      <c r="M41" s="58">
        <v>20000</v>
      </c>
      <c r="N41" s="58">
        <f t="shared" si="16"/>
        <v>1093300</v>
      </c>
      <c r="O41" s="59"/>
    </row>
    <row r="42" spans="1:15" ht="18.75" customHeight="1">
      <c r="A42" s="60">
        <f t="shared" si="13"/>
        <v>8</v>
      </c>
      <c r="B42" s="61" t="s">
        <v>43</v>
      </c>
      <c r="C42" s="97">
        <v>6</v>
      </c>
      <c r="D42" s="63">
        <f>88*22500</f>
        <v>1980000</v>
      </c>
      <c r="E42" s="102">
        <f t="shared" si="17"/>
        <v>11880000</v>
      </c>
      <c r="G42" s="64">
        <v>42674</v>
      </c>
      <c r="H42" s="64">
        <v>42677</v>
      </c>
      <c r="I42" s="56" t="s">
        <v>88</v>
      </c>
      <c r="J42" s="56">
        <f t="shared" si="14"/>
        <v>4</v>
      </c>
      <c r="K42" s="56">
        <v>385</v>
      </c>
      <c r="L42" s="88">
        <f t="shared" si="18"/>
        <v>5005</v>
      </c>
      <c r="M42" s="58">
        <v>20000</v>
      </c>
      <c r="N42" s="58">
        <f t="shared" si="16"/>
        <v>400400</v>
      </c>
      <c r="O42" s="59"/>
    </row>
    <row r="43" spans="1:15" ht="18.75" customHeight="1">
      <c r="A43" s="60">
        <f t="shared" si="13"/>
        <v>9</v>
      </c>
      <c r="B43" s="61" t="s">
        <v>44</v>
      </c>
      <c r="C43" s="97">
        <v>6</v>
      </c>
      <c r="D43" s="63">
        <v>1350000</v>
      </c>
      <c r="E43" s="102">
        <f>C43*D43</f>
        <v>8100000</v>
      </c>
      <c r="G43" s="64">
        <v>42674</v>
      </c>
      <c r="H43" s="64">
        <v>42677</v>
      </c>
      <c r="I43" s="56" t="s">
        <v>101</v>
      </c>
      <c r="J43" s="56">
        <f t="shared" si="14"/>
        <v>4</v>
      </c>
      <c r="K43" s="56">
        <v>370</v>
      </c>
      <c r="L43" s="88">
        <f t="shared" si="18"/>
        <v>4810</v>
      </c>
      <c r="M43" s="58">
        <v>20000</v>
      </c>
      <c r="N43" s="58">
        <f t="shared" si="16"/>
        <v>384800</v>
      </c>
      <c r="O43" s="59"/>
    </row>
    <row r="44" spans="1:15" ht="18.75" customHeight="1">
      <c r="A44" s="60">
        <f t="shared" si="13"/>
        <v>10</v>
      </c>
      <c r="B44" s="61" t="s">
        <v>79</v>
      </c>
      <c r="C44" s="97">
        <v>6</v>
      </c>
      <c r="D44" s="63">
        <v>2500000</v>
      </c>
      <c r="E44" s="102">
        <f t="shared" ref="E44" si="19">C44*D44</f>
        <v>15000000</v>
      </c>
      <c r="G44" s="64">
        <v>42674</v>
      </c>
      <c r="H44" s="64">
        <v>42677</v>
      </c>
      <c r="I44" s="56" t="s">
        <v>102</v>
      </c>
      <c r="J44" s="56">
        <f t="shared" si="14"/>
        <v>4</v>
      </c>
      <c r="K44" s="56">
        <v>445</v>
      </c>
      <c r="L44" s="88">
        <f t="shared" si="18"/>
        <v>5785</v>
      </c>
      <c r="M44" s="58">
        <v>20000</v>
      </c>
      <c r="N44" s="58">
        <f t="shared" si="16"/>
        <v>462800</v>
      </c>
      <c r="O44" s="59"/>
    </row>
    <row r="45" spans="1:15" ht="18.75" customHeight="1">
      <c r="A45" s="60">
        <f t="shared" si="13"/>
        <v>11</v>
      </c>
      <c r="B45" s="61" t="s">
        <v>45</v>
      </c>
      <c r="C45" s="97">
        <v>156</v>
      </c>
      <c r="D45" s="63">
        <v>50000</v>
      </c>
      <c r="E45" s="102">
        <f>C45*D45</f>
        <v>7800000</v>
      </c>
      <c r="G45" s="64">
        <v>42675</v>
      </c>
      <c r="H45" s="64">
        <v>42677</v>
      </c>
      <c r="I45" s="56" t="s">
        <v>90</v>
      </c>
      <c r="J45" s="56">
        <f t="shared" si="14"/>
        <v>3</v>
      </c>
      <c r="K45" s="56">
        <v>612</v>
      </c>
      <c r="L45" s="88">
        <f t="shared" si="18"/>
        <v>7956</v>
      </c>
      <c r="M45" s="58">
        <v>20000</v>
      </c>
      <c r="N45" s="58">
        <f t="shared" si="16"/>
        <v>477360</v>
      </c>
      <c r="O45" s="59"/>
    </row>
    <row r="46" spans="1:15" ht="18.75" customHeight="1">
      <c r="A46" s="60">
        <f t="shared" si="13"/>
        <v>12</v>
      </c>
      <c r="B46" s="61" t="s">
        <v>46</v>
      </c>
      <c r="C46" s="97"/>
      <c r="D46" s="63"/>
      <c r="E46" s="102">
        <f>N51</f>
        <v>4771260</v>
      </c>
      <c r="G46" s="64">
        <v>42677</v>
      </c>
      <c r="H46" s="64">
        <v>42677</v>
      </c>
      <c r="I46" s="56" t="s">
        <v>91</v>
      </c>
      <c r="J46" s="56">
        <f t="shared" si="14"/>
        <v>1</v>
      </c>
      <c r="K46" s="56">
        <v>370</v>
      </c>
      <c r="L46" s="88">
        <f t="shared" si="18"/>
        <v>4810</v>
      </c>
      <c r="M46" s="58">
        <v>20000</v>
      </c>
      <c r="N46" s="58">
        <f t="shared" si="16"/>
        <v>96200</v>
      </c>
      <c r="O46" s="59"/>
    </row>
    <row r="47" spans="1:15" ht="18.75" customHeight="1">
      <c r="A47" s="60"/>
      <c r="B47" s="61"/>
      <c r="C47" s="97"/>
      <c r="D47" s="63"/>
      <c r="E47" s="102"/>
      <c r="G47" s="64">
        <v>42677</v>
      </c>
      <c r="H47" s="64">
        <v>42677</v>
      </c>
      <c r="I47" s="56" t="s">
        <v>92</v>
      </c>
      <c r="J47" s="56">
        <f t="shared" si="14"/>
        <v>1</v>
      </c>
      <c r="K47" s="56">
        <v>442</v>
      </c>
      <c r="L47" s="88">
        <f t="shared" si="18"/>
        <v>5746</v>
      </c>
      <c r="M47" s="58">
        <v>20000</v>
      </c>
      <c r="N47" s="58">
        <f t="shared" si="16"/>
        <v>114920</v>
      </c>
      <c r="O47" s="59"/>
    </row>
    <row r="48" spans="1:15" ht="18.75" customHeight="1">
      <c r="A48" s="60"/>
      <c r="B48" s="61"/>
      <c r="C48" s="97"/>
      <c r="D48" s="63"/>
      <c r="E48" s="102"/>
      <c r="G48" s="64">
        <v>42677</v>
      </c>
      <c r="H48" s="64">
        <v>42677</v>
      </c>
      <c r="I48" s="56" t="s">
        <v>93</v>
      </c>
      <c r="J48" s="56">
        <f t="shared" si="14"/>
        <v>1</v>
      </c>
      <c r="K48" s="56">
        <v>384</v>
      </c>
      <c r="L48" s="88">
        <f t="shared" si="18"/>
        <v>4992</v>
      </c>
      <c r="M48" s="58">
        <v>20000</v>
      </c>
      <c r="N48" s="58">
        <f t="shared" si="16"/>
        <v>99840</v>
      </c>
      <c r="O48" s="59"/>
    </row>
    <row r="49" spans="1:15" ht="18.75" customHeight="1">
      <c r="A49" s="60"/>
      <c r="B49" s="61"/>
      <c r="C49" s="97"/>
      <c r="D49" s="63"/>
      <c r="E49" s="102"/>
      <c r="G49" s="64">
        <v>42677</v>
      </c>
      <c r="H49" s="64">
        <v>42677</v>
      </c>
      <c r="I49" s="56" t="s">
        <v>89</v>
      </c>
      <c r="J49" s="56">
        <f t="shared" si="14"/>
        <v>1</v>
      </c>
      <c r="K49" s="56">
        <v>151</v>
      </c>
      <c r="L49" s="88">
        <f t="shared" si="18"/>
        <v>1963</v>
      </c>
      <c r="M49" s="58">
        <v>20000</v>
      </c>
      <c r="N49" s="58">
        <f t="shared" si="16"/>
        <v>39260</v>
      </c>
      <c r="O49" s="59"/>
    </row>
    <row r="50" spans="1:15" ht="11.25" customHeight="1">
      <c r="A50" s="60"/>
      <c r="B50" s="61"/>
      <c r="C50" s="97"/>
      <c r="D50" s="63"/>
      <c r="E50" s="102"/>
      <c r="G50" s="66"/>
      <c r="H50" s="66"/>
      <c r="I50" s="67"/>
      <c r="J50" s="67"/>
      <c r="K50" s="67"/>
      <c r="L50" s="68"/>
      <c r="M50" s="69"/>
      <c r="N50" s="69"/>
    </row>
    <row r="51" spans="1:15" ht="20.25" customHeight="1">
      <c r="A51" s="70"/>
      <c r="B51" s="70" t="s">
        <v>48</v>
      </c>
      <c r="C51" s="98"/>
      <c r="D51" s="72"/>
      <c r="E51" s="74">
        <f>SUM(E35:E50)</f>
        <v>300173928</v>
      </c>
      <c r="F51" s="4"/>
      <c r="G51" s="73"/>
      <c r="H51" s="73"/>
      <c r="I51" s="73" t="s">
        <v>48</v>
      </c>
      <c r="J51" s="73"/>
      <c r="K51" s="89">
        <f>SUM(K35:K50)</f>
        <v>6000</v>
      </c>
      <c r="L51" s="89">
        <f t="shared" ref="L51" si="20">SUM(L35:L50)</f>
        <v>78000</v>
      </c>
      <c r="M51" s="89"/>
      <c r="N51" s="74">
        <f>SUM(N35:N50)</f>
        <v>4771260</v>
      </c>
    </row>
    <row r="52" spans="1:15" ht="6" customHeight="1"/>
    <row r="53" spans="1:15" s="3" customFormat="1">
      <c r="A53" s="5"/>
      <c r="B53" s="5"/>
      <c r="C53" s="99"/>
      <c r="D53" s="7" t="s">
        <v>49</v>
      </c>
      <c r="E53" s="103">
        <f>E51/C35</f>
        <v>1924.1918461538462</v>
      </c>
      <c r="F53" s="5"/>
    </row>
    <row r="55" spans="1:15" ht="43.5" customHeight="1">
      <c r="A55" s="879" t="s">
        <v>109</v>
      </c>
      <c r="B55" s="879"/>
      <c r="C55" s="879"/>
      <c r="D55" s="879"/>
      <c r="E55" s="879"/>
      <c r="F55" s="87"/>
      <c r="G55" s="2"/>
      <c r="H55" s="2"/>
    </row>
    <row r="56" spans="1:15" s="25" customFormat="1" ht="17.25" customHeight="1">
      <c r="B56" s="40"/>
      <c r="C56" s="94"/>
      <c r="D56" s="86"/>
      <c r="E56" s="100"/>
      <c r="F56" s="44"/>
      <c r="G56" s="45" t="s">
        <v>29</v>
      </c>
      <c r="I56" s="91"/>
    </row>
    <row r="57" spans="1:15" s="85" customFormat="1" ht="36.75" customHeight="1">
      <c r="A57" s="83" t="s">
        <v>0</v>
      </c>
      <c r="B57" s="83" t="s">
        <v>21</v>
      </c>
      <c r="C57" s="95" t="s">
        <v>7</v>
      </c>
      <c r="D57" s="84" t="s">
        <v>8</v>
      </c>
      <c r="E57" s="49" t="s">
        <v>9</v>
      </c>
      <c r="G57" s="47" t="s">
        <v>30</v>
      </c>
      <c r="H57" s="47" t="s">
        <v>31</v>
      </c>
      <c r="I57" s="47" t="s">
        <v>103</v>
      </c>
      <c r="J57" s="47" t="s">
        <v>32</v>
      </c>
      <c r="K57" s="47" t="s">
        <v>83</v>
      </c>
      <c r="L57" s="46" t="s">
        <v>33</v>
      </c>
      <c r="M57" s="49" t="s">
        <v>106</v>
      </c>
      <c r="N57" s="49" t="s">
        <v>9</v>
      </c>
    </row>
    <row r="58" spans="1:15" ht="18.75" customHeight="1">
      <c r="A58" s="60">
        <f>ROW()-57</f>
        <v>1</v>
      </c>
      <c r="B58" s="51" t="s">
        <v>35</v>
      </c>
      <c r="C58" s="96">
        <f>52000*2</f>
        <v>104000</v>
      </c>
      <c r="D58" s="53">
        <v>300</v>
      </c>
      <c r="E58" s="101">
        <f t="shared" ref="E58:E61" si="21">C58*D58</f>
        <v>31200000</v>
      </c>
      <c r="G58" s="64">
        <v>42677</v>
      </c>
      <c r="H58" s="64">
        <v>42682</v>
      </c>
      <c r="I58" s="56" t="s">
        <v>89</v>
      </c>
      <c r="J58" s="56">
        <f>IF(H58&lt;&gt;"",H58-G58+1,"")</f>
        <v>6</v>
      </c>
      <c r="K58" s="56">
        <f>2000-151</f>
        <v>1849</v>
      </c>
      <c r="L58" s="88">
        <f t="shared" ref="L58:L70" si="22">K58*13</f>
        <v>24037</v>
      </c>
      <c r="M58" s="58">
        <v>20000</v>
      </c>
      <c r="N58" s="58">
        <f>IF(J58&lt;&gt;"",M58*L58*J58/1000,"")</f>
        <v>2884440</v>
      </c>
      <c r="O58" s="59"/>
    </row>
    <row r="59" spans="1:15" ht="18.75" customHeight="1">
      <c r="A59" s="60">
        <f t="shared" ref="A59:A70" si="23">ROW()-57</f>
        <v>2</v>
      </c>
      <c r="B59" s="61" t="s">
        <v>37</v>
      </c>
      <c r="C59" s="97">
        <v>4</v>
      </c>
      <c r="D59" s="63">
        <v>2000000</v>
      </c>
      <c r="E59" s="102">
        <f t="shared" si="21"/>
        <v>8000000</v>
      </c>
      <c r="G59" s="64">
        <v>42678</v>
      </c>
      <c r="H59" s="64">
        <v>42682</v>
      </c>
      <c r="I59" s="56" t="s">
        <v>88</v>
      </c>
      <c r="J59" s="56">
        <f t="shared" ref="J59:J70" si="24">IF(H59&lt;&gt;"",H59-G59+1,"")</f>
        <v>5</v>
      </c>
      <c r="K59" s="56">
        <v>430</v>
      </c>
      <c r="L59" s="88">
        <f t="shared" si="22"/>
        <v>5590</v>
      </c>
      <c r="M59" s="58">
        <v>20000</v>
      </c>
      <c r="N59" s="58">
        <f t="shared" ref="N59:N70" si="25">IF(J59&lt;&gt;"",M59*L59*J59/1000,"")</f>
        <v>559000</v>
      </c>
      <c r="O59" s="59"/>
    </row>
    <row r="60" spans="1:15" ht="18.75" customHeight="1">
      <c r="A60" s="60">
        <f t="shared" si="23"/>
        <v>3</v>
      </c>
      <c r="B60" s="61" t="s">
        <v>38</v>
      </c>
      <c r="C60" s="97">
        <v>4</v>
      </c>
      <c r="D60" s="63">
        <v>2000000</v>
      </c>
      <c r="E60" s="102">
        <f t="shared" si="21"/>
        <v>8000000</v>
      </c>
      <c r="G60" s="64">
        <v>42679</v>
      </c>
      <c r="H60" s="64">
        <v>42682</v>
      </c>
      <c r="I60" s="56" t="s">
        <v>91</v>
      </c>
      <c r="J60" s="56">
        <f t="shared" si="24"/>
        <v>4</v>
      </c>
      <c r="K60" s="56">
        <v>370</v>
      </c>
      <c r="L60" s="88">
        <f t="shared" si="22"/>
        <v>4810</v>
      </c>
      <c r="M60" s="58">
        <v>20000</v>
      </c>
      <c r="N60" s="58">
        <f t="shared" si="25"/>
        <v>384800</v>
      </c>
      <c r="O60" s="59"/>
    </row>
    <row r="61" spans="1:15" ht="18.75" customHeight="1">
      <c r="A61" s="60">
        <f t="shared" si="23"/>
        <v>4</v>
      </c>
      <c r="B61" s="61" t="s">
        <v>39</v>
      </c>
      <c r="C61" s="97">
        <v>4</v>
      </c>
      <c r="D61" s="63">
        <v>600000</v>
      </c>
      <c r="E61" s="102">
        <f t="shared" si="21"/>
        <v>2400000</v>
      </c>
      <c r="G61" s="64">
        <v>42679</v>
      </c>
      <c r="H61" s="64">
        <v>42682</v>
      </c>
      <c r="I61" s="56" t="s">
        <v>94</v>
      </c>
      <c r="J61" s="56">
        <f t="shared" si="24"/>
        <v>4</v>
      </c>
      <c r="K61" s="56">
        <v>445</v>
      </c>
      <c r="L61" s="88">
        <f t="shared" si="22"/>
        <v>5785</v>
      </c>
      <c r="M61" s="58">
        <v>20000</v>
      </c>
      <c r="N61" s="58">
        <f t="shared" si="25"/>
        <v>462800</v>
      </c>
      <c r="O61" s="59"/>
    </row>
    <row r="62" spans="1:15" ht="18.75" customHeight="1">
      <c r="A62" s="60">
        <f t="shared" si="23"/>
        <v>5</v>
      </c>
      <c r="B62" s="61" t="s">
        <v>75</v>
      </c>
      <c r="C62" s="97">
        <v>4</v>
      </c>
      <c r="D62" s="63">
        <v>16725000</v>
      </c>
      <c r="E62" s="102">
        <f>C62*D62</f>
        <v>66900000</v>
      </c>
      <c r="G62" s="64">
        <v>42679</v>
      </c>
      <c r="H62" s="64">
        <v>42682</v>
      </c>
      <c r="I62" s="56" t="s">
        <v>95</v>
      </c>
      <c r="J62" s="56">
        <f t="shared" si="24"/>
        <v>4</v>
      </c>
      <c r="K62" s="56">
        <v>541</v>
      </c>
      <c r="L62" s="88">
        <f t="shared" si="22"/>
        <v>7033</v>
      </c>
      <c r="M62" s="58">
        <v>20000</v>
      </c>
      <c r="N62" s="58">
        <f t="shared" si="25"/>
        <v>562640</v>
      </c>
      <c r="O62" s="59"/>
    </row>
    <row r="63" spans="1:15" ht="18.75" customHeight="1">
      <c r="A63" s="60">
        <f t="shared" si="23"/>
        <v>6</v>
      </c>
      <c r="B63" s="61" t="s">
        <v>41</v>
      </c>
      <c r="C63" s="97">
        <v>4</v>
      </c>
      <c r="D63" s="63">
        <v>7378778</v>
      </c>
      <c r="E63" s="102">
        <f t="shared" ref="E63:E65" si="26">C63*D63</f>
        <v>29515112</v>
      </c>
      <c r="G63" s="64">
        <v>42679</v>
      </c>
      <c r="H63" s="64">
        <v>42682</v>
      </c>
      <c r="I63" s="56" t="s">
        <v>86</v>
      </c>
      <c r="J63" s="56">
        <f t="shared" si="24"/>
        <v>4</v>
      </c>
      <c r="K63" s="56">
        <f>520-155</f>
        <v>365</v>
      </c>
      <c r="L63" s="88">
        <f t="shared" si="22"/>
        <v>4745</v>
      </c>
      <c r="M63" s="58">
        <v>20000</v>
      </c>
      <c r="N63" s="58">
        <f t="shared" si="25"/>
        <v>379600</v>
      </c>
      <c r="O63" s="59"/>
    </row>
    <row r="64" spans="1:15" ht="18.75" customHeight="1">
      <c r="A64" s="60">
        <f t="shared" si="23"/>
        <v>7</v>
      </c>
      <c r="B64" s="61" t="s">
        <v>42</v>
      </c>
      <c r="C64" s="97">
        <v>4</v>
      </c>
      <c r="D64" s="63">
        <v>5600000</v>
      </c>
      <c r="E64" s="102">
        <f t="shared" si="26"/>
        <v>22400000</v>
      </c>
      <c r="G64" s="64">
        <v>42679</v>
      </c>
      <c r="H64" s="64">
        <v>42684</v>
      </c>
      <c r="I64" s="56" t="s">
        <v>96</v>
      </c>
      <c r="J64" s="56">
        <f t="shared" si="24"/>
        <v>6</v>
      </c>
      <c r="K64" s="56">
        <v>2000</v>
      </c>
      <c r="L64" s="88">
        <f t="shared" si="22"/>
        <v>26000</v>
      </c>
      <c r="M64" s="58">
        <v>20000</v>
      </c>
      <c r="N64" s="58">
        <f t="shared" si="25"/>
        <v>3120000</v>
      </c>
      <c r="O64" s="59"/>
    </row>
    <row r="65" spans="1:15" ht="18.75" customHeight="1">
      <c r="A65" s="60">
        <f t="shared" si="23"/>
        <v>8</v>
      </c>
      <c r="B65" s="61" t="s">
        <v>43</v>
      </c>
      <c r="C65" s="97">
        <v>4</v>
      </c>
      <c r="D65" s="63">
        <f>88*22500</f>
        <v>1980000</v>
      </c>
      <c r="E65" s="102">
        <f t="shared" si="26"/>
        <v>7920000</v>
      </c>
      <c r="G65" s="64">
        <v>42679</v>
      </c>
      <c r="H65" s="64">
        <v>42685</v>
      </c>
      <c r="I65" s="56" t="s">
        <v>86</v>
      </c>
      <c r="J65" s="56">
        <f t="shared" si="24"/>
        <v>7</v>
      </c>
      <c r="K65" s="56">
        <v>155</v>
      </c>
      <c r="L65" s="88">
        <f t="shared" si="22"/>
        <v>2015</v>
      </c>
      <c r="M65" s="58">
        <v>20000</v>
      </c>
      <c r="N65" s="58">
        <f t="shared" si="25"/>
        <v>282100</v>
      </c>
      <c r="O65" s="59"/>
    </row>
    <row r="66" spans="1:15" ht="18.75" customHeight="1">
      <c r="A66" s="60">
        <f t="shared" si="23"/>
        <v>9</v>
      </c>
      <c r="B66" s="61" t="s">
        <v>44</v>
      </c>
      <c r="C66" s="97">
        <v>4</v>
      </c>
      <c r="D66" s="63">
        <v>1350000</v>
      </c>
      <c r="E66" s="102">
        <f>C66*D66</f>
        <v>5400000</v>
      </c>
      <c r="G66" s="64">
        <v>42679</v>
      </c>
      <c r="H66" s="64">
        <v>42685</v>
      </c>
      <c r="I66" s="56" t="s">
        <v>90</v>
      </c>
      <c r="J66" s="56">
        <f t="shared" si="24"/>
        <v>7</v>
      </c>
      <c r="K66" s="56">
        <v>507</v>
      </c>
      <c r="L66" s="88">
        <f t="shared" si="22"/>
        <v>6591</v>
      </c>
      <c r="M66" s="58">
        <v>20000</v>
      </c>
      <c r="N66" s="58">
        <f t="shared" si="25"/>
        <v>922740</v>
      </c>
      <c r="O66" s="59"/>
    </row>
    <row r="67" spans="1:15" ht="18.75" customHeight="1">
      <c r="A67" s="60">
        <f t="shared" si="23"/>
        <v>10</v>
      </c>
      <c r="B67" s="61" t="s">
        <v>79</v>
      </c>
      <c r="C67" s="97">
        <v>4</v>
      </c>
      <c r="D67" s="63">
        <v>2500000</v>
      </c>
      <c r="E67" s="102">
        <f t="shared" ref="E67" si="27">C67*D67</f>
        <v>10000000</v>
      </c>
      <c r="G67" s="64">
        <v>42680</v>
      </c>
      <c r="H67" s="64">
        <v>42685</v>
      </c>
      <c r="I67" s="56" t="s">
        <v>98</v>
      </c>
      <c r="J67" s="56">
        <f t="shared" si="24"/>
        <v>6</v>
      </c>
      <c r="K67" s="56">
        <v>300</v>
      </c>
      <c r="L67" s="88">
        <f t="shared" si="22"/>
        <v>3900</v>
      </c>
      <c r="M67" s="58">
        <v>20000</v>
      </c>
      <c r="N67" s="58">
        <f t="shared" si="25"/>
        <v>468000</v>
      </c>
      <c r="O67" s="59"/>
    </row>
    <row r="68" spans="1:15" ht="18.75" customHeight="1">
      <c r="A68" s="60">
        <f t="shared" si="23"/>
        <v>11</v>
      </c>
      <c r="B68" s="61" t="s">
        <v>45</v>
      </c>
      <c r="C68" s="97">
        <v>104</v>
      </c>
      <c r="D68" s="63">
        <v>50000</v>
      </c>
      <c r="E68" s="102">
        <f>C68*D68</f>
        <v>5200000</v>
      </c>
      <c r="G68" s="64">
        <v>42680</v>
      </c>
      <c r="H68" s="64">
        <v>42685</v>
      </c>
      <c r="I68" s="56" t="s">
        <v>84</v>
      </c>
      <c r="J68" s="56">
        <f t="shared" si="24"/>
        <v>6</v>
      </c>
      <c r="K68" s="56">
        <f>332-13</f>
        <v>319</v>
      </c>
      <c r="L68" s="88">
        <f t="shared" si="22"/>
        <v>4147</v>
      </c>
      <c r="M68" s="58">
        <v>20000</v>
      </c>
      <c r="N68" s="58">
        <f t="shared" si="25"/>
        <v>497640</v>
      </c>
      <c r="O68" s="59"/>
    </row>
    <row r="69" spans="1:15" ht="18.75" customHeight="1">
      <c r="A69" s="60">
        <f t="shared" si="23"/>
        <v>12</v>
      </c>
      <c r="B69" s="61" t="s">
        <v>46</v>
      </c>
      <c r="C69" s="97"/>
      <c r="D69" s="63"/>
      <c r="E69" s="102">
        <f>N73</f>
        <v>11458460</v>
      </c>
      <c r="G69" s="64">
        <v>42681</v>
      </c>
      <c r="H69" s="64">
        <v>42685</v>
      </c>
      <c r="I69" s="56" t="s">
        <v>110</v>
      </c>
      <c r="J69" s="56">
        <f t="shared" si="24"/>
        <v>5</v>
      </c>
      <c r="K69" s="56">
        <v>11</v>
      </c>
      <c r="L69" s="88">
        <f t="shared" si="22"/>
        <v>143</v>
      </c>
      <c r="M69" s="58">
        <v>20000</v>
      </c>
      <c r="N69" s="58">
        <f t="shared" si="25"/>
        <v>14300</v>
      </c>
      <c r="O69" s="59"/>
    </row>
    <row r="70" spans="1:15" ht="18.75" customHeight="1">
      <c r="A70" s="60">
        <f t="shared" si="23"/>
        <v>13</v>
      </c>
      <c r="B70" s="61" t="s">
        <v>123</v>
      </c>
      <c r="C70" s="97"/>
      <c r="D70" s="63"/>
      <c r="E70" s="102">
        <v>1791144</v>
      </c>
      <c r="G70" s="64">
        <v>42681</v>
      </c>
      <c r="H70" s="64">
        <v>42685</v>
      </c>
      <c r="I70" s="56" t="s">
        <v>99</v>
      </c>
      <c r="J70" s="56">
        <f t="shared" si="24"/>
        <v>5</v>
      </c>
      <c r="K70" s="56">
        <f>2000-1292</f>
        <v>708</v>
      </c>
      <c r="L70" s="88">
        <f t="shared" si="22"/>
        <v>9204</v>
      </c>
      <c r="M70" s="58">
        <v>20000</v>
      </c>
      <c r="N70" s="58">
        <f t="shared" si="25"/>
        <v>920400</v>
      </c>
      <c r="O70" s="59"/>
    </row>
    <row r="71" spans="1:15" ht="18.75" customHeight="1">
      <c r="A71" s="60"/>
      <c r="B71" s="61"/>
      <c r="C71" s="97"/>
      <c r="D71" s="63"/>
      <c r="E71" s="102"/>
      <c r="G71" s="64"/>
      <c r="H71" s="64"/>
      <c r="I71" s="56"/>
      <c r="J71" s="56"/>
      <c r="K71" s="56"/>
      <c r="L71" s="88"/>
      <c r="M71" s="58"/>
      <c r="N71" s="58"/>
      <c r="O71" s="59"/>
    </row>
    <row r="72" spans="1:15" ht="8.25" customHeight="1">
      <c r="A72" s="60"/>
      <c r="B72" s="61"/>
      <c r="C72" s="97"/>
      <c r="D72" s="63"/>
      <c r="E72" s="102"/>
      <c r="G72" s="64"/>
      <c r="H72" s="64"/>
      <c r="I72" s="56"/>
      <c r="J72" s="56"/>
      <c r="K72" s="56"/>
      <c r="L72" s="88"/>
      <c r="M72" s="58"/>
      <c r="N72" s="58"/>
    </row>
    <row r="73" spans="1:15" ht="18.75" customHeight="1">
      <c r="A73" s="70"/>
      <c r="B73" s="70" t="s">
        <v>48</v>
      </c>
      <c r="C73" s="98"/>
      <c r="D73" s="72"/>
      <c r="E73" s="74">
        <f>SUM(E58:E72)</f>
        <v>210184716</v>
      </c>
      <c r="F73" s="4"/>
      <c r="G73" s="73"/>
      <c r="H73" s="73"/>
      <c r="I73" s="73" t="s">
        <v>48</v>
      </c>
      <c r="J73" s="73"/>
      <c r="K73" s="89">
        <f>SUM(K58:K72)</f>
        <v>8000</v>
      </c>
      <c r="L73" s="89">
        <f>SUM(L58:L72)</f>
        <v>104000</v>
      </c>
      <c r="M73" s="89"/>
      <c r="N73" s="74">
        <f>SUM(N58:N72)</f>
        <v>11458460</v>
      </c>
    </row>
    <row r="74" spans="1:15" ht="5.25" customHeight="1"/>
    <row r="75" spans="1:15" s="3" customFormat="1">
      <c r="A75" s="5"/>
      <c r="B75" s="5"/>
      <c r="C75" s="99"/>
      <c r="D75" s="7" t="s">
        <v>49</v>
      </c>
      <c r="E75" s="103">
        <f>E73/C58</f>
        <v>2021.0068846153847</v>
      </c>
      <c r="F75" s="5"/>
    </row>
    <row r="77" spans="1:15" s="107" customFormat="1" ht="25.5" customHeight="1">
      <c r="A77" s="73" t="s">
        <v>0</v>
      </c>
      <c r="B77" s="883" t="s">
        <v>21</v>
      </c>
      <c r="C77" s="883"/>
      <c r="D77" s="883"/>
      <c r="E77" s="106" t="s">
        <v>9</v>
      </c>
      <c r="G77" s="108"/>
      <c r="H77" s="108"/>
      <c r="I77" s="108"/>
      <c r="J77" s="108"/>
      <c r="K77" s="108"/>
      <c r="L77" s="108"/>
      <c r="M77" s="108"/>
      <c r="N77" s="108"/>
    </row>
    <row r="78" spans="1:15" s="107" customFormat="1" ht="16.5" customHeight="1">
      <c r="A78" s="56">
        <v>1</v>
      </c>
      <c r="B78" s="884" t="s">
        <v>113</v>
      </c>
      <c r="C78" s="884"/>
      <c r="D78" s="884"/>
      <c r="E78" s="114">
        <f>E17</f>
        <v>106334296</v>
      </c>
      <c r="G78" s="108"/>
      <c r="H78" s="108"/>
      <c r="I78" s="108"/>
      <c r="J78" s="108"/>
      <c r="K78" s="108"/>
      <c r="L78" s="108"/>
      <c r="M78" s="108"/>
      <c r="N78" s="108"/>
    </row>
    <row r="79" spans="1:15" s="107" customFormat="1" ht="16.5" customHeight="1">
      <c r="A79" s="60">
        <v>2</v>
      </c>
      <c r="B79" s="885" t="s">
        <v>114</v>
      </c>
      <c r="C79" s="885"/>
      <c r="D79" s="885"/>
      <c r="E79" s="63">
        <f>E28</f>
        <v>5087260</v>
      </c>
      <c r="G79" s="108"/>
      <c r="H79" s="108"/>
      <c r="I79" s="108"/>
      <c r="J79" s="108"/>
      <c r="K79" s="108"/>
      <c r="L79" s="108"/>
      <c r="M79" s="108"/>
      <c r="N79" s="108"/>
    </row>
    <row r="80" spans="1:15" s="107" customFormat="1" ht="16.5" customHeight="1">
      <c r="A80" s="60">
        <v>3</v>
      </c>
      <c r="B80" s="885" t="s">
        <v>115</v>
      </c>
      <c r="C80" s="885"/>
      <c r="D80" s="885"/>
      <c r="E80" s="63">
        <f>E51</f>
        <v>300173928</v>
      </c>
      <c r="G80" s="108"/>
      <c r="H80" s="108"/>
      <c r="I80" s="108"/>
      <c r="J80" s="108"/>
      <c r="K80" s="108"/>
      <c r="L80" s="108"/>
      <c r="M80" s="108"/>
      <c r="N80" s="108"/>
    </row>
    <row r="81" spans="1:14" s="107" customFormat="1" ht="16.5" customHeight="1">
      <c r="A81" s="60">
        <v>4</v>
      </c>
      <c r="B81" s="885" t="s">
        <v>116</v>
      </c>
      <c r="C81" s="885"/>
      <c r="D81" s="885"/>
      <c r="E81" s="63">
        <f>E73</f>
        <v>210184716</v>
      </c>
      <c r="G81" s="108"/>
      <c r="H81" s="108"/>
      <c r="I81" s="108"/>
      <c r="J81" s="108"/>
      <c r="K81" s="108"/>
      <c r="L81" s="108"/>
      <c r="M81" s="108"/>
      <c r="N81" s="108"/>
    </row>
    <row r="82" spans="1:14" s="107" customFormat="1" ht="10.5" customHeight="1">
      <c r="A82" s="67"/>
      <c r="B82" s="886"/>
      <c r="C82" s="886"/>
      <c r="D82" s="886"/>
      <c r="E82" s="80"/>
      <c r="G82" s="108"/>
      <c r="H82" s="108"/>
      <c r="I82" s="108"/>
      <c r="J82" s="108"/>
      <c r="K82" s="108"/>
      <c r="L82" s="108"/>
      <c r="M82" s="108"/>
      <c r="N82" s="108"/>
    </row>
    <row r="83" spans="1:14" s="107" customFormat="1" ht="16.5" customHeight="1">
      <c r="A83" s="70"/>
      <c r="B83" s="887" t="s">
        <v>57</v>
      </c>
      <c r="C83" s="887"/>
      <c r="D83" s="887"/>
      <c r="E83" s="72">
        <f>SUM(E78:E82)</f>
        <v>621780200</v>
      </c>
      <c r="G83" s="108"/>
      <c r="H83" s="108"/>
      <c r="I83" s="117"/>
      <c r="J83" s="108"/>
      <c r="K83" s="108"/>
      <c r="L83" s="108"/>
      <c r="M83" s="108"/>
      <c r="N83" s="108"/>
    </row>
    <row r="84" spans="1:14">
      <c r="I84" s="119">
        <f>E90-E83-F87-I87</f>
        <v>535921987.46000004</v>
      </c>
    </row>
    <row r="85" spans="1:14" ht="31.5" customHeight="1">
      <c r="A85" s="73" t="s">
        <v>0</v>
      </c>
      <c r="B85" s="104" t="s">
        <v>21</v>
      </c>
      <c r="C85" s="105" t="s">
        <v>50</v>
      </c>
      <c r="D85" s="106" t="s">
        <v>51</v>
      </c>
      <c r="E85" s="106" t="s">
        <v>9</v>
      </c>
      <c r="F85" s="876" t="s">
        <v>117</v>
      </c>
      <c r="G85" s="877"/>
      <c r="H85" s="878"/>
      <c r="I85" s="106" t="s">
        <v>52</v>
      </c>
    </row>
    <row r="86" spans="1:14">
      <c r="A86" s="60">
        <v>1</v>
      </c>
      <c r="B86" s="61" t="s">
        <v>112</v>
      </c>
      <c r="C86" s="63">
        <v>145588</v>
      </c>
      <c r="D86" s="63">
        <v>22285</v>
      </c>
      <c r="E86" s="63">
        <f>C86*D86</f>
        <v>3244428580</v>
      </c>
      <c r="F86" s="873"/>
      <c r="G86" s="874"/>
      <c r="H86" s="875"/>
      <c r="I86" s="63"/>
    </row>
    <row r="87" spans="1:14">
      <c r="A87" s="60">
        <v>2</v>
      </c>
      <c r="B87" s="61" t="s">
        <v>55</v>
      </c>
      <c r="C87" s="62"/>
      <c r="D87" s="63"/>
      <c r="E87" s="63">
        <f t="shared" ref="E87" si="28">C87*D87</f>
        <v>0</v>
      </c>
      <c r="F87" s="873">
        <f>I87*0.033%</f>
        <v>688392.54</v>
      </c>
      <c r="G87" s="874"/>
      <c r="H87" s="875"/>
      <c r="I87" s="63">
        <v>2086038000</v>
      </c>
    </row>
    <row r="88" spans="1:14">
      <c r="A88" s="60">
        <v>3</v>
      </c>
      <c r="B88" s="61" t="s">
        <v>56</v>
      </c>
      <c r="C88" s="62"/>
      <c r="D88" s="63"/>
      <c r="E88" s="63">
        <f>C88*D88</f>
        <v>0</v>
      </c>
      <c r="F88" s="873">
        <f>I84*0.033%</f>
        <v>176854.25586180002</v>
      </c>
      <c r="G88" s="874"/>
      <c r="H88" s="875"/>
      <c r="I88" s="63">
        <f>I84-F88</f>
        <v>535745133.20413822</v>
      </c>
    </row>
    <row r="89" spans="1:14" ht="6" customHeight="1">
      <c r="A89" s="112"/>
      <c r="B89" s="115"/>
      <c r="C89" s="116"/>
      <c r="D89" s="113"/>
      <c r="E89" s="113"/>
      <c r="F89" s="880"/>
      <c r="G89" s="881"/>
      <c r="H89" s="882"/>
      <c r="I89" s="113"/>
    </row>
    <row r="90" spans="1:14">
      <c r="A90" s="70"/>
      <c r="B90" s="70" t="s">
        <v>57</v>
      </c>
      <c r="C90" s="71"/>
      <c r="D90" s="72"/>
      <c r="E90" s="72">
        <f>SUM(E86:E89)</f>
        <v>3244428580</v>
      </c>
      <c r="F90" s="870">
        <f>SUM(F86:H89)</f>
        <v>865246.79586180008</v>
      </c>
      <c r="G90" s="871"/>
      <c r="H90" s="872"/>
      <c r="I90" s="72">
        <f>SUM(I86:I89)</f>
        <v>2621783133.2041383</v>
      </c>
    </row>
    <row r="91" spans="1:14">
      <c r="A91" s="109"/>
      <c r="B91" s="109"/>
      <c r="C91" s="110"/>
      <c r="D91" s="111"/>
      <c r="E91" s="111"/>
    </row>
    <row r="92" spans="1:14" ht="31.5" customHeight="1">
      <c r="A92" s="73" t="s">
        <v>0</v>
      </c>
      <c r="B92" s="118" t="s">
        <v>21</v>
      </c>
      <c r="C92" s="105" t="s">
        <v>50</v>
      </c>
      <c r="D92" s="106" t="s">
        <v>51</v>
      </c>
      <c r="E92" s="106" t="s">
        <v>9</v>
      </c>
      <c r="F92" s="876" t="s">
        <v>117</v>
      </c>
      <c r="G92" s="877"/>
      <c r="H92" s="878"/>
      <c r="I92" s="106" t="s">
        <v>52</v>
      </c>
    </row>
    <row r="93" spans="1:14">
      <c r="A93" s="60">
        <v>1</v>
      </c>
      <c r="B93" s="61" t="s">
        <v>129</v>
      </c>
      <c r="C93" s="63">
        <v>145588</v>
      </c>
      <c r="D93" s="63">
        <v>22290</v>
      </c>
      <c r="E93" s="63">
        <f>C93*D93</f>
        <v>3245156520</v>
      </c>
      <c r="F93" s="888"/>
      <c r="G93" s="889"/>
      <c r="H93" s="890"/>
      <c r="I93" s="63"/>
    </row>
    <row r="94" spans="1:14">
      <c r="A94" s="60">
        <v>2</v>
      </c>
      <c r="B94" s="61" t="s">
        <v>123</v>
      </c>
      <c r="C94" s="63"/>
      <c r="D94" s="63"/>
      <c r="E94" s="63"/>
      <c r="F94" s="873">
        <v>1791144</v>
      </c>
      <c r="G94" s="874"/>
      <c r="H94" s="875"/>
      <c r="I94" s="63"/>
    </row>
    <row r="95" spans="1:14">
      <c r="A95" s="60">
        <v>3</v>
      </c>
      <c r="B95" s="61" t="s">
        <v>130</v>
      </c>
      <c r="C95" s="63"/>
      <c r="D95" s="63"/>
      <c r="E95" s="63">
        <f t="shared" ref="E95" si="29">C95*D95</f>
        <v>0</v>
      </c>
      <c r="F95" s="873"/>
      <c r="G95" s="874"/>
      <c r="H95" s="875"/>
      <c r="I95" s="63"/>
    </row>
    <row r="96" spans="1:14">
      <c r="A96" s="60">
        <v>4</v>
      </c>
      <c r="B96" s="61" t="s">
        <v>55</v>
      </c>
      <c r="C96" s="62"/>
      <c r="D96" s="63"/>
      <c r="E96" s="63">
        <f t="shared" ref="E96:E97" si="30">C96*D96</f>
        <v>0</v>
      </c>
      <c r="F96" s="873">
        <v>357930</v>
      </c>
      <c r="G96" s="874"/>
      <c r="H96" s="875"/>
      <c r="I96" s="63">
        <v>1084637000</v>
      </c>
    </row>
    <row r="97" spans="1:15">
      <c r="A97" s="60">
        <v>5</v>
      </c>
      <c r="B97" s="61" t="s">
        <v>131</v>
      </c>
      <c r="C97" s="62"/>
      <c r="D97" s="63"/>
      <c r="E97" s="63">
        <f t="shared" si="30"/>
        <v>0</v>
      </c>
      <c r="F97" s="873">
        <v>480480</v>
      </c>
      <c r="G97" s="874"/>
      <c r="H97" s="875"/>
      <c r="I97" s="63">
        <v>1456000000</v>
      </c>
    </row>
    <row r="98" spans="1:15">
      <c r="A98" s="60">
        <v>6</v>
      </c>
      <c r="B98" s="61" t="s">
        <v>56</v>
      </c>
      <c r="C98" s="62"/>
      <c r="D98" s="63"/>
      <c r="E98" s="63">
        <f>C98*D98</f>
        <v>0</v>
      </c>
      <c r="F98" s="873">
        <v>231033</v>
      </c>
      <c r="G98" s="874"/>
      <c r="H98" s="875"/>
      <c r="I98" s="63">
        <f>I101-F98</f>
        <v>699867789</v>
      </c>
    </row>
    <row r="99" spans="1:15" ht="6" customHeight="1">
      <c r="A99" s="112"/>
      <c r="B99" s="115"/>
      <c r="C99" s="116"/>
      <c r="D99" s="113"/>
      <c r="E99" s="113"/>
      <c r="F99" s="880"/>
      <c r="G99" s="881"/>
      <c r="H99" s="882"/>
      <c r="I99" s="113"/>
    </row>
    <row r="100" spans="1:15">
      <c r="A100" s="70"/>
      <c r="B100" s="70" t="s">
        <v>57</v>
      </c>
      <c r="C100" s="71"/>
      <c r="D100" s="72"/>
      <c r="E100" s="72">
        <f>SUM(E93:E99)</f>
        <v>3245156520</v>
      </c>
      <c r="F100" s="870">
        <f>SUM(F93:H99)</f>
        <v>2860587</v>
      </c>
      <c r="G100" s="871"/>
      <c r="H100" s="872"/>
      <c r="I100" s="72">
        <f>SUM(I93:I99)</f>
        <v>3240504789</v>
      </c>
    </row>
    <row r="101" spans="1:15">
      <c r="A101" s="109"/>
      <c r="B101" s="109"/>
      <c r="C101" s="110"/>
      <c r="D101" s="111"/>
      <c r="E101" s="111"/>
      <c r="I101" s="119">
        <v>700098822</v>
      </c>
    </row>
    <row r="102" spans="1:15">
      <c r="A102" s="109"/>
      <c r="B102" s="109"/>
      <c r="C102" s="110"/>
      <c r="D102" s="111"/>
      <c r="E102" s="111"/>
      <c r="I102" s="122"/>
    </row>
    <row r="103" spans="1:15">
      <c r="A103" s="109"/>
      <c r="B103" s="109"/>
      <c r="C103" s="110"/>
      <c r="D103" s="111"/>
      <c r="E103" s="111"/>
    </row>
    <row r="104" spans="1:15">
      <c r="A104" s="109"/>
      <c r="B104" s="109"/>
      <c r="C104" s="110"/>
      <c r="D104" s="111"/>
      <c r="E104" s="111"/>
    </row>
    <row r="105" spans="1:15" ht="43.5" customHeight="1">
      <c r="A105" s="879" t="s">
        <v>147</v>
      </c>
      <c r="B105" s="879"/>
      <c r="C105" s="879"/>
      <c r="D105" s="879"/>
      <c r="E105" s="879"/>
      <c r="F105" s="87"/>
      <c r="G105" s="2"/>
      <c r="H105" s="2"/>
    </row>
    <row r="106" spans="1:15" s="25" customFormat="1" ht="17.25" customHeight="1">
      <c r="B106" s="40"/>
      <c r="C106" s="94"/>
      <c r="D106" s="86"/>
      <c r="E106" s="100"/>
      <c r="F106" s="44"/>
      <c r="G106" s="45" t="s">
        <v>29</v>
      </c>
      <c r="I106" s="91"/>
    </row>
    <row r="107" spans="1:15" s="85" customFormat="1" ht="36.75" customHeight="1">
      <c r="A107" s="83" t="s">
        <v>0</v>
      </c>
      <c r="B107" s="83" t="s">
        <v>21</v>
      </c>
      <c r="C107" s="95" t="s">
        <v>7</v>
      </c>
      <c r="D107" s="84" t="s">
        <v>8</v>
      </c>
      <c r="E107" s="49" t="s">
        <v>9</v>
      </c>
      <c r="G107" s="47" t="s">
        <v>30</v>
      </c>
      <c r="H107" s="47" t="s">
        <v>31</v>
      </c>
      <c r="I107" s="47" t="s">
        <v>103</v>
      </c>
      <c r="J107" s="47" t="s">
        <v>32</v>
      </c>
      <c r="K107" s="47" t="s">
        <v>83</v>
      </c>
      <c r="L107" s="46" t="s">
        <v>33</v>
      </c>
      <c r="M107" s="49" t="s">
        <v>106</v>
      </c>
      <c r="N107" s="49" t="s">
        <v>9</v>
      </c>
    </row>
    <row r="108" spans="1:15" ht="18.75" customHeight="1">
      <c r="A108" s="60">
        <f>ROW()-77</f>
        <v>31</v>
      </c>
      <c r="B108" s="51" t="s">
        <v>35</v>
      </c>
      <c r="C108" s="96">
        <f>26000*8</f>
        <v>208000</v>
      </c>
      <c r="D108" s="53">
        <v>300</v>
      </c>
      <c r="E108" s="101">
        <f t="shared" ref="E108:E111" si="31">C108*D108</f>
        <v>62400000</v>
      </c>
      <c r="G108" s="64">
        <v>42681</v>
      </c>
      <c r="H108" s="64">
        <v>42690</v>
      </c>
      <c r="I108" s="56" t="s">
        <v>99</v>
      </c>
      <c r="J108" s="56">
        <f t="shared" ref="J108:J111" si="32">IF(H108&lt;&gt;"",H108-G108+1,"")</f>
        <v>10</v>
      </c>
      <c r="K108" s="56">
        <v>1292</v>
      </c>
      <c r="L108" s="88">
        <f t="shared" ref="L108:L111" si="33">K108*13</f>
        <v>16796</v>
      </c>
      <c r="M108" s="58">
        <v>20000</v>
      </c>
      <c r="N108" s="58">
        <f t="shared" ref="N108:N122" si="34">IF(J108&lt;&gt;"",M108*L108*J108/1000,"")</f>
        <v>3359200</v>
      </c>
      <c r="O108" s="59"/>
    </row>
    <row r="109" spans="1:15" ht="18.75" customHeight="1">
      <c r="A109" s="60">
        <f t="shared" ref="A109:A119" si="35">ROW()-77</f>
        <v>32</v>
      </c>
      <c r="B109" s="61" t="s">
        <v>37</v>
      </c>
      <c r="C109" s="97">
        <v>8</v>
      </c>
      <c r="D109" s="63">
        <v>2000000</v>
      </c>
      <c r="E109" s="102">
        <f t="shared" si="31"/>
        <v>16000000</v>
      </c>
      <c r="G109" s="64">
        <v>42682</v>
      </c>
      <c r="H109" s="64">
        <v>42690</v>
      </c>
      <c r="I109" s="56" t="s">
        <v>86</v>
      </c>
      <c r="J109" s="56">
        <f t="shared" si="32"/>
        <v>9</v>
      </c>
      <c r="K109" s="56">
        <v>246</v>
      </c>
      <c r="L109" s="88">
        <f t="shared" si="33"/>
        <v>3198</v>
      </c>
      <c r="M109" s="58">
        <v>20000</v>
      </c>
      <c r="N109" s="58">
        <f t="shared" si="34"/>
        <v>575640</v>
      </c>
      <c r="O109" s="59"/>
    </row>
    <row r="110" spans="1:15" ht="18.75" customHeight="1">
      <c r="A110" s="60">
        <f t="shared" si="35"/>
        <v>33</v>
      </c>
      <c r="B110" s="61" t="s">
        <v>38</v>
      </c>
      <c r="C110" s="97">
        <v>8</v>
      </c>
      <c r="D110" s="63">
        <v>2000000</v>
      </c>
      <c r="E110" s="102">
        <f t="shared" si="31"/>
        <v>16000000</v>
      </c>
      <c r="G110" s="64">
        <v>42682</v>
      </c>
      <c r="H110" s="64">
        <v>42690</v>
      </c>
      <c r="I110" s="56" t="s">
        <v>100</v>
      </c>
      <c r="J110" s="56">
        <f t="shared" si="32"/>
        <v>9</v>
      </c>
      <c r="K110" s="56">
        <v>443</v>
      </c>
      <c r="L110" s="88">
        <f t="shared" si="33"/>
        <v>5759</v>
      </c>
      <c r="M110" s="58">
        <v>20000</v>
      </c>
      <c r="N110" s="58">
        <f t="shared" si="34"/>
        <v>1036620</v>
      </c>
      <c r="O110" s="59"/>
    </row>
    <row r="111" spans="1:15" ht="18.75" customHeight="1">
      <c r="A111" s="60">
        <f t="shared" si="35"/>
        <v>34</v>
      </c>
      <c r="B111" s="61" t="s">
        <v>39</v>
      </c>
      <c r="C111" s="97">
        <v>8</v>
      </c>
      <c r="D111" s="63">
        <v>600000</v>
      </c>
      <c r="E111" s="102">
        <f t="shared" si="31"/>
        <v>4800000</v>
      </c>
      <c r="G111" s="64">
        <v>42683</v>
      </c>
      <c r="H111" s="64">
        <v>42690</v>
      </c>
      <c r="I111" s="56" t="s">
        <v>101</v>
      </c>
      <c r="J111" s="56">
        <f t="shared" si="32"/>
        <v>8</v>
      </c>
      <c r="K111" s="56">
        <f>184-165</f>
        <v>19</v>
      </c>
      <c r="L111" s="88">
        <f t="shared" si="33"/>
        <v>247</v>
      </c>
      <c r="M111" s="58">
        <v>20000</v>
      </c>
      <c r="N111" s="58">
        <f t="shared" si="34"/>
        <v>39520</v>
      </c>
      <c r="O111" s="59"/>
    </row>
    <row r="112" spans="1:15" ht="18.75" customHeight="1">
      <c r="A112" s="60">
        <f t="shared" si="35"/>
        <v>35</v>
      </c>
      <c r="B112" s="61" t="s">
        <v>75</v>
      </c>
      <c r="C112" s="97">
        <v>8</v>
      </c>
      <c r="D112" s="63">
        <f>750*D129</f>
        <v>16860000</v>
      </c>
      <c r="E112" s="102">
        <f>C112*D112</f>
        <v>134880000</v>
      </c>
      <c r="G112" s="64">
        <v>42690</v>
      </c>
      <c r="H112" s="64">
        <v>42690</v>
      </c>
      <c r="I112" s="56" t="s">
        <v>144</v>
      </c>
      <c r="J112" s="56">
        <f>IF(H112&lt;&gt;"",H112-G112,"")</f>
        <v>0</v>
      </c>
      <c r="K112" s="56">
        <v>2000</v>
      </c>
      <c r="L112" s="88">
        <f t="shared" ref="L112:L116" si="36">K112*13</f>
        <v>26000</v>
      </c>
      <c r="M112" s="58">
        <v>20000</v>
      </c>
      <c r="N112" s="58">
        <f t="shared" si="34"/>
        <v>0</v>
      </c>
      <c r="O112" s="59"/>
    </row>
    <row r="113" spans="1:15" ht="18.75" customHeight="1">
      <c r="A113" s="60">
        <f t="shared" si="35"/>
        <v>36</v>
      </c>
      <c r="B113" s="61" t="s">
        <v>41</v>
      </c>
      <c r="C113" s="97">
        <v>8</v>
      </c>
      <c r="D113" s="63">
        <v>7378778</v>
      </c>
      <c r="E113" s="102">
        <f t="shared" ref="E113:E115" si="37">C113*D113</f>
        <v>59030224</v>
      </c>
      <c r="G113" s="64">
        <v>42691</v>
      </c>
      <c r="H113" s="64">
        <v>42691</v>
      </c>
      <c r="I113" s="56" t="s">
        <v>145</v>
      </c>
      <c r="J113" s="56">
        <f t="shared" ref="J113:J117" si="38">IF(H113&lt;&gt;"",H113-G113,"")</f>
        <v>0</v>
      </c>
      <c r="K113" s="56">
        <v>2000</v>
      </c>
      <c r="L113" s="88">
        <f t="shared" si="36"/>
        <v>26000</v>
      </c>
      <c r="M113" s="58">
        <v>20000</v>
      </c>
      <c r="N113" s="58">
        <f t="shared" si="34"/>
        <v>0</v>
      </c>
      <c r="O113" s="59"/>
    </row>
    <row r="114" spans="1:15" ht="18.75" customHeight="1">
      <c r="A114" s="60">
        <f t="shared" si="35"/>
        <v>37</v>
      </c>
      <c r="B114" s="61" t="s">
        <v>42</v>
      </c>
      <c r="C114" s="97">
        <v>8</v>
      </c>
      <c r="D114" s="63">
        <v>5600000</v>
      </c>
      <c r="E114" s="102">
        <f t="shared" si="37"/>
        <v>44800000</v>
      </c>
      <c r="G114" s="64">
        <v>42691</v>
      </c>
      <c r="H114" s="64">
        <v>42691</v>
      </c>
      <c r="I114" s="56" t="s">
        <v>146</v>
      </c>
      <c r="J114" s="56">
        <f t="shared" si="38"/>
        <v>0</v>
      </c>
      <c r="K114" s="56">
        <v>2000</v>
      </c>
      <c r="L114" s="88">
        <f t="shared" si="36"/>
        <v>26000</v>
      </c>
      <c r="M114" s="58">
        <v>20000</v>
      </c>
      <c r="N114" s="58">
        <f t="shared" si="34"/>
        <v>0</v>
      </c>
      <c r="O114" s="59"/>
    </row>
    <row r="115" spans="1:15" ht="18.75" customHeight="1">
      <c r="A115" s="60">
        <f t="shared" si="35"/>
        <v>38</v>
      </c>
      <c r="B115" s="61" t="s">
        <v>43</v>
      </c>
      <c r="C115" s="97">
        <v>8</v>
      </c>
      <c r="D115" s="63">
        <f>88*22500</f>
        <v>1980000</v>
      </c>
      <c r="E115" s="102">
        <f t="shared" si="37"/>
        <v>15840000</v>
      </c>
      <c r="G115" s="64">
        <v>42698</v>
      </c>
      <c r="H115" s="64">
        <v>42698</v>
      </c>
      <c r="I115" s="56" t="s">
        <v>177</v>
      </c>
      <c r="J115" s="56">
        <f t="shared" si="38"/>
        <v>0</v>
      </c>
      <c r="K115" s="56">
        <v>1999</v>
      </c>
      <c r="L115" s="88">
        <f t="shared" si="36"/>
        <v>25987</v>
      </c>
      <c r="M115" s="58">
        <v>20000</v>
      </c>
      <c r="N115" s="58">
        <f t="shared" si="34"/>
        <v>0</v>
      </c>
      <c r="O115" s="59"/>
    </row>
    <row r="116" spans="1:15" ht="18.75" customHeight="1">
      <c r="A116" s="60">
        <f t="shared" si="35"/>
        <v>39</v>
      </c>
      <c r="B116" s="61" t="s">
        <v>44</v>
      </c>
      <c r="C116" s="97">
        <v>8</v>
      </c>
      <c r="D116" s="63">
        <v>1350000</v>
      </c>
      <c r="E116" s="102">
        <f>C116*D116</f>
        <v>10800000</v>
      </c>
      <c r="G116" s="64">
        <v>42698</v>
      </c>
      <c r="H116" s="64">
        <v>42698</v>
      </c>
      <c r="I116" s="56" t="s">
        <v>178</v>
      </c>
      <c r="J116" s="56">
        <f t="shared" si="38"/>
        <v>0</v>
      </c>
      <c r="K116" s="56">
        <v>2000</v>
      </c>
      <c r="L116" s="88">
        <f t="shared" si="36"/>
        <v>26000</v>
      </c>
      <c r="M116" s="58">
        <v>20000</v>
      </c>
      <c r="N116" s="58">
        <f t="shared" si="34"/>
        <v>0</v>
      </c>
      <c r="O116" s="59"/>
    </row>
    <row r="117" spans="1:15" ht="18.75" customHeight="1">
      <c r="A117" s="60">
        <f t="shared" si="35"/>
        <v>40</v>
      </c>
      <c r="B117" s="61" t="s">
        <v>79</v>
      </c>
      <c r="C117" s="97">
        <v>8</v>
      </c>
      <c r="D117" s="63">
        <v>2500000</v>
      </c>
      <c r="E117" s="102">
        <f t="shared" ref="E117" si="39">C117*D117</f>
        <v>20000000</v>
      </c>
      <c r="G117" s="64">
        <v>42702</v>
      </c>
      <c r="H117" s="64">
        <v>42702</v>
      </c>
      <c r="I117" s="56" t="s">
        <v>179</v>
      </c>
      <c r="J117" s="56">
        <f t="shared" si="38"/>
        <v>0</v>
      </c>
      <c r="K117" s="56">
        <v>2000</v>
      </c>
      <c r="L117" s="88">
        <f t="shared" ref="L117" si="40">K117*13</f>
        <v>26000</v>
      </c>
      <c r="M117" s="58">
        <v>20000</v>
      </c>
      <c r="N117" s="58">
        <f t="shared" si="34"/>
        <v>0</v>
      </c>
      <c r="O117" s="59"/>
    </row>
    <row r="118" spans="1:15" ht="18.75" customHeight="1">
      <c r="A118" s="60">
        <f t="shared" si="35"/>
        <v>41</v>
      </c>
      <c r="B118" s="61" t="s">
        <v>45</v>
      </c>
      <c r="C118" s="97">
        <v>208</v>
      </c>
      <c r="D118" s="63">
        <v>50000</v>
      </c>
      <c r="E118" s="102">
        <f>C118*D118</f>
        <v>10400000</v>
      </c>
      <c r="G118" s="64">
        <v>42683</v>
      </c>
      <c r="H118" s="64">
        <v>42699</v>
      </c>
      <c r="I118" s="56" t="s">
        <v>101</v>
      </c>
      <c r="J118" s="56">
        <f t="shared" ref="J118:J122" si="41">IF(H118&lt;&gt;"",H118-G118+1,"")</f>
        <v>17</v>
      </c>
      <c r="K118" s="56">
        <v>165</v>
      </c>
      <c r="L118" s="88">
        <f t="shared" ref="L118:L122" si="42">K118*13</f>
        <v>2145</v>
      </c>
      <c r="M118" s="58">
        <v>20000</v>
      </c>
      <c r="N118" s="58">
        <f t="shared" si="34"/>
        <v>729300</v>
      </c>
      <c r="O118" s="59"/>
    </row>
    <row r="119" spans="1:15" ht="18.75" customHeight="1">
      <c r="A119" s="60">
        <f t="shared" si="35"/>
        <v>42</v>
      </c>
      <c r="B119" s="61" t="s">
        <v>46</v>
      </c>
      <c r="C119" s="97"/>
      <c r="D119" s="63"/>
      <c r="E119" s="102">
        <f>N124</f>
        <v>13548600</v>
      </c>
      <c r="G119" s="64">
        <v>42684</v>
      </c>
      <c r="H119" s="64">
        <v>42699</v>
      </c>
      <c r="I119" s="56" t="s">
        <v>84</v>
      </c>
      <c r="J119" s="56">
        <f t="shared" si="41"/>
        <v>16</v>
      </c>
      <c r="K119" s="56">
        <v>510</v>
      </c>
      <c r="L119" s="88">
        <f t="shared" si="42"/>
        <v>6630</v>
      </c>
      <c r="M119" s="58">
        <v>20000</v>
      </c>
      <c r="N119" s="58">
        <f t="shared" si="34"/>
        <v>2121600</v>
      </c>
      <c r="O119" s="59"/>
    </row>
    <row r="120" spans="1:15" ht="18.75" customHeight="1">
      <c r="A120" s="60"/>
      <c r="B120" s="61"/>
      <c r="C120" s="97"/>
      <c r="D120" s="63"/>
      <c r="E120" s="102"/>
      <c r="G120" s="64"/>
      <c r="H120" s="64"/>
      <c r="I120" s="56" t="s">
        <v>118</v>
      </c>
      <c r="J120" s="56" t="str">
        <f t="shared" si="41"/>
        <v/>
      </c>
      <c r="K120" s="56">
        <v>-41</v>
      </c>
      <c r="L120" s="88">
        <f t="shared" si="42"/>
        <v>-533</v>
      </c>
      <c r="M120" s="58">
        <v>20000</v>
      </c>
      <c r="N120" s="58" t="str">
        <f t="shared" si="34"/>
        <v/>
      </c>
      <c r="O120" s="59"/>
    </row>
    <row r="121" spans="1:15" ht="18.75" customHeight="1">
      <c r="A121" s="60"/>
      <c r="B121" s="61"/>
      <c r="C121" s="97"/>
      <c r="D121" s="63"/>
      <c r="E121" s="102"/>
      <c r="G121" s="64">
        <v>42684</v>
      </c>
      <c r="H121" s="64">
        <v>42699</v>
      </c>
      <c r="I121" s="56" t="s">
        <v>119</v>
      </c>
      <c r="J121" s="56">
        <f t="shared" si="41"/>
        <v>16</v>
      </c>
      <c r="K121" s="56">
        <v>605</v>
      </c>
      <c r="L121" s="88">
        <f t="shared" si="42"/>
        <v>7865</v>
      </c>
      <c r="M121" s="58">
        <v>20000</v>
      </c>
      <c r="N121" s="58">
        <f t="shared" si="34"/>
        <v>2516800</v>
      </c>
      <c r="O121" s="59"/>
    </row>
    <row r="122" spans="1:15" ht="18.75" customHeight="1">
      <c r="A122" s="60"/>
      <c r="B122" s="61"/>
      <c r="C122" s="97"/>
      <c r="D122" s="63"/>
      <c r="E122" s="102"/>
      <c r="G122" s="64">
        <v>42684</v>
      </c>
      <c r="H122" s="64">
        <v>42699</v>
      </c>
      <c r="I122" s="56" t="s">
        <v>120</v>
      </c>
      <c r="J122" s="56">
        <f t="shared" si="41"/>
        <v>16</v>
      </c>
      <c r="K122" s="56">
        <f>800-38</f>
        <v>762</v>
      </c>
      <c r="L122" s="88">
        <f t="shared" si="42"/>
        <v>9906</v>
      </c>
      <c r="M122" s="58">
        <v>20000</v>
      </c>
      <c r="N122" s="58">
        <f t="shared" si="34"/>
        <v>3169920</v>
      </c>
      <c r="O122" s="59"/>
    </row>
    <row r="123" spans="1:15" ht="7.5" customHeight="1">
      <c r="A123" s="60"/>
      <c r="B123" s="61"/>
      <c r="C123" s="97"/>
      <c r="D123" s="63"/>
      <c r="E123" s="102"/>
      <c r="G123" s="66"/>
      <c r="H123" s="66"/>
      <c r="I123" s="67"/>
      <c r="J123" s="67"/>
      <c r="K123" s="67"/>
      <c r="L123" s="68"/>
      <c r="M123" s="69"/>
      <c r="N123" s="69"/>
    </row>
    <row r="124" spans="1:15" ht="18.75" customHeight="1">
      <c r="A124" s="70"/>
      <c r="B124" s="70" t="s">
        <v>48</v>
      </c>
      <c r="C124" s="98"/>
      <c r="D124" s="72"/>
      <c r="E124" s="74">
        <f>SUM(E108:E123)</f>
        <v>408498824</v>
      </c>
      <c r="F124" s="4"/>
      <c r="G124" s="73"/>
      <c r="H124" s="73"/>
      <c r="I124" s="73" t="s">
        <v>48</v>
      </c>
      <c r="J124" s="73"/>
      <c r="K124" s="89">
        <f>SUM(K108:K123)</f>
        <v>16000</v>
      </c>
      <c r="L124" s="89">
        <f>SUM(L108:L123)</f>
        <v>208000</v>
      </c>
      <c r="M124" s="89"/>
      <c r="N124" s="74">
        <f>SUM(N108:N123)</f>
        <v>13548600</v>
      </c>
    </row>
    <row r="125" spans="1:15" ht="7.5" customHeight="1"/>
    <row r="126" spans="1:15" s="3" customFormat="1">
      <c r="A126" s="5"/>
      <c r="B126" s="5"/>
      <c r="C126" s="99"/>
      <c r="D126" s="7" t="s">
        <v>49</v>
      </c>
      <c r="E126" s="103">
        <f>E124/C108</f>
        <v>1963.9366538461538</v>
      </c>
      <c r="F126" s="5"/>
    </row>
    <row r="128" spans="1:15" ht="31.5" customHeight="1">
      <c r="A128" s="73" t="s">
        <v>0</v>
      </c>
      <c r="B128" s="120" t="s">
        <v>21</v>
      </c>
      <c r="C128" s="105" t="s">
        <v>50</v>
      </c>
      <c r="D128" s="106" t="s">
        <v>51</v>
      </c>
      <c r="E128" s="106" t="s">
        <v>9</v>
      </c>
      <c r="F128" s="876" t="s">
        <v>117</v>
      </c>
      <c r="G128" s="877"/>
      <c r="H128" s="878"/>
      <c r="I128" s="106" t="s">
        <v>52</v>
      </c>
    </row>
    <row r="129" spans="1:9">
      <c r="A129" s="60">
        <v>1</v>
      </c>
      <c r="B129" s="61" t="s">
        <v>141</v>
      </c>
      <c r="C129" s="97">
        <v>291188</v>
      </c>
      <c r="D129" s="63">
        <v>22480</v>
      </c>
      <c r="E129" s="63">
        <f>C129*D129</f>
        <v>6545906240</v>
      </c>
      <c r="F129" s="873"/>
      <c r="G129" s="874"/>
      <c r="H129" s="875"/>
      <c r="I129" s="63"/>
    </row>
    <row r="130" spans="1:9">
      <c r="A130" s="60">
        <v>2</v>
      </c>
      <c r="B130" s="61" t="s">
        <v>123</v>
      </c>
      <c r="C130" s="97"/>
      <c r="D130" s="63"/>
      <c r="E130" s="63"/>
      <c r="F130" s="873">
        <f>F94*2</f>
        <v>3582288</v>
      </c>
      <c r="G130" s="874"/>
      <c r="H130" s="875"/>
      <c r="I130" s="63"/>
    </row>
    <row r="131" spans="1:9">
      <c r="A131" s="60">
        <v>3</v>
      </c>
      <c r="B131" s="61" t="s">
        <v>143</v>
      </c>
      <c r="C131" s="63"/>
      <c r="D131" s="63"/>
      <c r="E131" s="63"/>
      <c r="F131" s="873">
        <v>-1791144</v>
      </c>
      <c r="G131" s="874"/>
      <c r="H131" s="875"/>
      <c r="I131" s="63"/>
    </row>
    <row r="132" spans="1:9">
      <c r="A132" s="60">
        <v>4</v>
      </c>
      <c r="B132" s="61" t="s">
        <v>142</v>
      </c>
      <c r="C132" s="63"/>
      <c r="D132" s="63"/>
      <c r="E132" s="63">
        <f t="shared" ref="E132:E134" si="43">C132*D132</f>
        <v>0</v>
      </c>
      <c r="F132" s="873">
        <f>ROUND(I132*0.033%,0)</f>
        <v>1450020</v>
      </c>
      <c r="G132" s="874"/>
      <c r="H132" s="875"/>
      <c r="I132" s="63">
        <v>4394000000</v>
      </c>
    </row>
    <row r="133" spans="1:9">
      <c r="A133" s="60">
        <v>5</v>
      </c>
      <c r="B133" s="61" t="s">
        <v>149</v>
      </c>
      <c r="C133" s="62"/>
      <c r="D133" s="63"/>
      <c r="E133" s="63">
        <f t="shared" si="43"/>
        <v>0</v>
      </c>
      <c r="F133" s="873">
        <f>ROUND(I133*0.033%,0)</f>
        <v>133243</v>
      </c>
      <c r="G133" s="874"/>
      <c r="H133" s="875"/>
      <c r="I133" s="63">
        <v>403767000</v>
      </c>
    </row>
    <row r="134" spans="1:9">
      <c r="A134" s="60">
        <v>6</v>
      </c>
      <c r="B134" s="61" t="s">
        <v>150</v>
      </c>
      <c r="C134" s="62"/>
      <c r="D134" s="63"/>
      <c r="E134" s="63">
        <f t="shared" si="43"/>
        <v>0</v>
      </c>
      <c r="F134" s="873">
        <f t="shared" ref="F134" si="44">ROUND(I134*0.033%,0)</f>
        <v>142501</v>
      </c>
      <c r="G134" s="874"/>
      <c r="H134" s="875"/>
      <c r="I134" s="63">
        <v>431821000</v>
      </c>
    </row>
    <row r="135" spans="1:9">
      <c r="A135" s="60">
        <v>7</v>
      </c>
      <c r="B135" s="61" t="s">
        <v>56</v>
      </c>
      <c r="C135" s="62"/>
      <c r="D135" s="63"/>
      <c r="E135" s="63">
        <f>C135*D135</f>
        <v>0</v>
      </c>
      <c r="F135" s="873">
        <v>298421</v>
      </c>
      <c r="G135" s="874"/>
      <c r="H135" s="875"/>
      <c r="I135" s="63">
        <v>904008247</v>
      </c>
    </row>
    <row r="136" spans="1:9" ht="6" customHeight="1">
      <c r="A136" s="112"/>
      <c r="B136" s="115"/>
      <c r="C136" s="116"/>
      <c r="D136" s="113"/>
      <c r="E136" s="113"/>
      <c r="F136" s="880"/>
      <c r="G136" s="881"/>
      <c r="H136" s="882"/>
      <c r="I136" s="113"/>
    </row>
    <row r="137" spans="1:9">
      <c r="A137" s="70"/>
      <c r="B137" s="70" t="s">
        <v>57</v>
      </c>
      <c r="C137" s="71"/>
      <c r="D137" s="72"/>
      <c r="E137" s="72">
        <f>SUM(E129:E136)</f>
        <v>6545906240</v>
      </c>
      <c r="F137" s="870">
        <f>SUM(F129:H136)</f>
        <v>3815329</v>
      </c>
      <c r="G137" s="871"/>
      <c r="H137" s="872"/>
      <c r="I137" s="72">
        <f>SUM(I129:I136)</f>
        <v>6133596247</v>
      </c>
    </row>
    <row r="139" spans="1:9" ht="31.5" customHeight="1">
      <c r="A139" s="73" t="s">
        <v>0</v>
      </c>
      <c r="B139" s="123" t="s">
        <v>21</v>
      </c>
      <c r="C139" s="105" t="s">
        <v>50</v>
      </c>
      <c r="D139" s="106" t="s">
        <v>51</v>
      </c>
      <c r="E139" s="106" t="s">
        <v>9</v>
      </c>
      <c r="F139" s="876" t="s">
        <v>117</v>
      </c>
      <c r="G139" s="877"/>
      <c r="H139" s="878"/>
      <c r="I139" s="106" t="s">
        <v>52</v>
      </c>
    </row>
    <row r="140" spans="1:9">
      <c r="A140" s="60">
        <v>1</v>
      </c>
      <c r="B140" s="61" t="s">
        <v>151</v>
      </c>
      <c r="C140" s="97">
        <v>145588</v>
      </c>
      <c r="D140" s="63">
        <v>22660</v>
      </c>
      <c r="E140" s="63">
        <f>C140*D140</f>
        <v>3299024080</v>
      </c>
      <c r="F140" s="873"/>
      <c r="G140" s="874"/>
      <c r="H140" s="875"/>
      <c r="I140" s="63"/>
    </row>
    <row r="141" spans="1:9">
      <c r="A141" s="60">
        <v>2</v>
      </c>
      <c r="B141" s="61" t="s">
        <v>123</v>
      </c>
      <c r="C141" s="97"/>
      <c r="D141" s="63"/>
      <c r="E141" s="63"/>
      <c r="F141" s="873">
        <v>1819968</v>
      </c>
      <c r="G141" s="874"/>
      <c r="H141" s="875"/>
      <c r="I141" s="63"/>
    </row>
    <row r="142" spans="1:9">
      <c r="A142" s="60">
        <v>4</v>
      </c>
      <c r="B142" s="124" t="s">
        <v>152</v>
      </c>
      <c r="C142" s="63"/>
      <c r="D142" s="63"/>
      <c r="E142" s="63">
        <f t="shared" ref="E142:E144" si="45">C142*D142</f>
        <v>0</v>
      </c>
      <c r="F142" s="873">
        <f>ROUND(I142*0.033%,0)</f>
        <v>475585</v>
      </c>
      <c r="G142" s="874"/>
      <c r="H142" s="875"/>
      <c r="I142" s="63">
        <v>1441167000</v>
      </c>
    </row>
    <row r="143" spans="1:9">
      <c r="A143" s="60">
        <v>5</v>
      </c>
      <c r="B143" s="124" t="s">
        <v>153</v>
      </c>
      <c r="C143" s="62"/>
      <c r="D143" s="63"/>
      <c r="E143" s="63">
        <f t="shared" si="45"/>
        <v>0</v>
      </c>
      <c r="F143" s="873">
        <f>ROUND(I143*0.033%,0)</f>
        <v>178679</v>
      </c>
      <c r="G143" s="874"/>
      <c r="H143" s="875"/>
      <c r="I143" s="63">
        <v>541450000</v>
      </c>
    </row>
    <row r="144" spans="1:9">
      <c r="A144" s="60">
        <v>6</v>
      </c>
      <c r="B144" s="61" t="s">
        <v>55</v>
      </c>
      <c r="C144" s="62"/>
      <c r="D144" s="63"/>
      <c r="E144" s="63">
        <f t="shared" si="45"/>
        <v>0</v>
      </c>
      <c r="F144" s="873">
        <f t="shared" ref="F144" si="46">ROUND(I144*0.033%,0)</f>
        <v>351889</v>
      </c>
      <c r="G144" s="874"/>
      <c r="H144" s="875"/>
      <c r="I144" s="63">
        <v>1066331000</v>
      </c>
    </row>
    <row r="145" spans="1:15">
      <c r="A145" s="60">
        <v>7</v>
      </c>
      <c r="B145" s="61" t="s">
        <v>56</v>
      </c>
      <c r="C145" s="62"/>
      <c r="D145" s="63"/>
      <c r="E145" s="63">
        <f>C145*D145</f>
        <v>0</v>
      </c>
      <c r="F145" s="873">
        <v>81592</v>
      </c>
      <c r="G145" s="874"/>
      <c r="H145" s="875"/>
      <c r="I145" s="63">
        <v>247168367</v>
      </c>
    </row>
    <row r="146" spans="1:15" ht="6" customHeight="1">
      <c r="A146" s="112"/>
      <c r="B146" s="115"/>
      <c r="C146" s="116"/>
      <c r="D146" s="113"/>
      <c r="E146" s="113"/>
      <c r="F146" s="880"/>
      <c r="G146" s="881"/>
      <c r="H146" s="882"/>
      <c r="I146" s="113"/>
    </row>
    <row r="147" spans="1:15">
      <c r="A147" s="70"/>
      <c r="B147" s="70" t="s">
        <v>57</v>
      </c>
      <c r="C147" s="71"/>
      <c r="D147" s="72"/>
      <c r="E147" s="72">
        <f>SUM(E140:E146)</f>
        <v>3299024080</v>
      </c>
      <c r="F147" s="870">
        <f>SUM(F140:H146)</f>
        <v>2907713</v>
      </c>
      <c r="G147" s="871"/>
      <c r="H147" s="872"/>
      <c r="I147" s="72">
        <f>SUM(I140:I146)</f>
        <v>3296116367</v>
      </c>
    </row>
    <row r="148" spans="1:15" ht="18" customHeight="1">
      <c r="I148" s="122"/>
    </row>
    <row r="149" spans="1:15">
      <c r="I149" s="122"/>
    </row>
    <row r="150" spans="1:15" ht="43.5" customHeight="1">
      <c r="A150" s="879" t="s">
        <v>190</v>
      </c>
      <c r="B150" s="879"/>
      <c r="C150" s="879"/>
      <c r="D150" s="879"/>
      <c r="E150" s="879"/>
      <c r="F150" s="87"/>
      <c r="G150" s="2"/>
      <c r="H150" s="2"/>
    </row>
    <row r="151" spans="1:15" s="25" customFormat="1" ht="17.25" customHeight="1">
      <c r="B151" s="40"/>
      <c r="C151" s="94"/>
      <c r="D151" s="86"/>
      <c r="E151" s="100"/>
      <c r="F151" s="44"/>
      <c r="G151" s="45" t="s">
        <v>29</v>
      </c>
      <c r="I151" s="91"/>
    </row>
    <row r="152" spans="1:15" s="85" customFormat="1" ht="36.75" customHeight="1">
      <c r="A152" s="83" t="s">
        <v>0</v>
      </c>
      <c r="B152" s="83" t="s">
        <v>21</v>
      </c>
      <c r="C152" s="95" t="s">
        <v>7</v>
      </c>
      <c r="D152" s="84" t="s">
        <v>8</v>
      </c>
      <c r="E152" s="49" t="s">
        <v>9</v>
      </c>
      <c r="G152" s="47" t="s">
        <v>30</v>
      </c>
      <c r="H152" s="47" t="s">
        <v>31</v>
      </c>
      <c r="I152" s="47" t="s">
        <v>103</v>
      </c>
      <c r="J152" s="47" t="s">
        <v>32</v>
      </c>
      <c r="K152" s="47" t="s">
        <v>83</v>
      </c>
      <c r="L152" s="46" t="s">
        <v>33</v>
      </c>
      <c r="M152" s="49" t="s">
        <v>106</v>
      </c>
      <c r="N152" s="49" t="s">
        <v>9</v>
      </c>
    </row>
    <row r="153" spans="1:15" ht="18.75" customHeight="1">
      <c r="A153" s="60">
        <f>ROW()-152</f>
        <v>1</v>
      </c>
      <c r="B153" s="51" t="s">
        <v>35</v>
      </c>
      <c r="C153" s="96">
        <v>208000</v>
      </c>
      <c r="D153" s="53">
        <v>300</v>
      </c>
      <c r="E153" s="101">
        <f t="shared" ref="E153:E156" si="47">C153*D153</f>
        <v>62400000</v>
      </c>
      <c r="G153" s="64">
        <v>42684</v>
      </c>
      <c r="H153" s="64">
        <v>42702</v>
      </c>
      <c r="I153" s="56" t="s">
        <v>120</v>
      </c>
      <c r="J153" s="56">
        <f t="shared" ref="J153:J163" si="48">IF(H153&lt;&gt;"",H153-G153+1,"")</f>
        <v>19</v>
      </c>
      <c r="K153" s="56">
        <v>38</v>
      </c>
      <c r="L153" s="88">
        <f t="shared" ref="L153:L164" si="49">K153*13</f>
        <v>494</v>
      </c>
      <c r="M153" s="58">
        <v>20000</v>
      </c>
      <c r="N153" s="58">
        <f t="shared" ref="N153:N164" si="50">IF(J153&lt;&gt;"",M153*L153*J153/1000,"")</f>
        <v>187720</v>
      </c>
      <c r="O153" s="59"/>
    </row>
    <row r="154" spans="1:15" ht="18.75" customHeight="1">
      <c r="A154" s="60">
        <f t="shared" ref="A154:A167" si="51">ROW()-152</f>
        <v>2</v>
      </c>
      <c r="B154" s="61" t="s">
        <v>37</v>
      </c>
      <c r="C154" s="97">
        <v>8</v>
      </c>
      <c r="D154" s="63">
        <v>2000000</v>
      </c>
      <c r="E154" s="102">
        <f t="shared" si="47"/>
        <v>16000000</v>
      </c>
      <c r="G154" s="64">
        <v>42684</v>
      </c>
      <c r="H154" s="64">
        <v>42702</v>
      </c>
      <c r="I154" s="56" t="s">
        <v>121</v>
      </c>
      <c r="J154" s="56">
        <f t="shared" si="48"/>
        <v>19</v>
      </c>
      <c r="K154" s="56">
        <v>400</v>
      </c>
      <c r="L154" s="88">
        <f t="shared" si="49"/>
        <v>5200</v>
      </c>
      <c r="M154" s="58">
        <v>20000</v>
      </c>
      <c r="N154" s="58">
        <f t="shared" si="50"/>
        <v>1976000</v>
      </c>
      <c r="O154" s="59"/>
    </row>
    <row r="155" spans="1:15" ht="18.75" customHeight="1">
      <c r="A155" s="60">
        <f t="shared" si="51"/>
        <v>3</v>
      </c>
      <c r="B155" s="61" t="s">
        <v>38</v>
      </c>
      <c r="C155" s="97">
        <v>8</v>
      </c>
      <c r="D155" s="63">
        <v>2000000</v>
      </c>
      <c r="E155" s="102">
        <f t="shared" si="47"/>
        <v>16000000</v>
      </c>
      <c r="G155" s="64">
        <v>42685</v>
      </c>
      <c r="H155" s="64">
        <v>42702</v>
      </c>
      <c r="I155" s="56" t="s">
        <v>124</v>
      </c>
      <c r="J155" s="56">
        <f t="shared" si="48"/>
        <v>18</v>
      </c>
      <c r="K155" s="56">
        <v>445</v>
      </c>
      <c r="L155" s="88">
        <f t="shared" si="49"/>
        <v>5785</v>
      </c>
      <c r="M155" s="58">
        <v>20000</v>
      </c>
      <c r="N155" s="58">
        <f t="shared" si="50"/>
        <v>2082600</v>
      </c>
      <c r="O155" s="59"/>
    </row>
    <row r="156" spans="1:15" ht="18.75" customHeight="1">
      <c r="A156" s="60">
        <f t="shared" si="51"/>
        <v>4</v>
      </c>
      <c r="B156" s="61" t="s">
        <v>39</v>
      </c>
      <c r="C156" s="97">
        <v>8</v>
      </c>
      <c r="D156" s="63">
        <v>600000</v>
      </c>
      <c r="E156" s="102">
        <f t="shared" si="47"/>
        <v>4800000</v>
      </c>
      <c r="G156" s="64"/>
      <c r="H156" s="64"/>
      <c r="I156" s="56" t="s">
        <v>128</v>
      </c>
      <c r="J156" s="56" t="str">
        <f t="shared" si="48"/>
        <v/>
      </c>
      <c r="K156" s="56">
        <v>-11</v>
      </c>
      <c r="L156" s="88">
        <f t="shared" si="49"/>
        <v>-143</v>
      </c>
      <c r="M156" s="58"/>
      <c r="N156" s="58" t="str">
        <f t="shared" si="50"/>
        <v/>
      </c>
      <c r="O156" s="59"/>
    </row>
    <row r="157" spans="1:15" ht="18.75" customHeight="1">
      <c r="A157" s="60">
        <f t="shared" si="51"/>
        <v>5</v>
      </c>
      <c r="B157" s="61" t="s">
        <v>75</v>
      </c>
      <c r="C157" s="97">
        <v>8</v>
      </c>
      <c r="D157" s="63">
        <f>750*22600</f>
        <v>16950000</v>
      </c>
      <c r="E157" s="102">
        <f>C157*D157</f>
        <v>135600000</v>
      </c>
      <c r="G157" s="64">
        <v>42685</v>
      </c>
      <c r="H157" s="64">
        <v>42702</v>
      </c>
      <c r="I157" s="56" t="s">
        <v>87</v>
      </c>
      <c r="J157" s="56">
        <f t="shared" si="48"/>
        <v>18</v>
      </c>
      <c r="K157" s="56">
        <v>505</v>
      </c>
      <c r="L157" s="88">
        <f t="shared" si="49"/>
        <v>6565</v>
      </c>
      <c r="M157" s="58">
        <v>20000</v>
      </c>
      <c r="N157" s="58">
        <f t="shared" si="50"/>
        <v>2363400</v>
      </c>
      <c r="O157" s="59"/>
    </row>
    <row r="158" spans="1:15" ht="18.75" customHeight="1">
      <c r="A158" s="60">
        <f t="shared" si="51"/>
        <v>6</v>
      </c>
      <c r="B158" s="61" t="s">
        <v>41</v>
      </c>
      <c r="C158" s="97">
        <v>8</v>
      </c>
      <c r="D158" s="63">
        <v>7378778</v>
      </c>
      <c r="E158" s="102">
        <f t="shared" ref="E158:E160" si="52">C158*D158</f>
        <v>59030224</v>
      </c>
      <c r="G158" s="64">
        <v>42685</v>
      </c>
      <c r="H158" s="64">
        <v>42702</v>
      </c>
      <c r="I158" s="56" t="s">
        <v>125</v>
      </c>
      <c r="J158" s="56">
        <f t="shared" si="48"/>
        <v>18</v>
      </c>
      <c r="K158" s="56">
        <v>353</v>
      </c>
      <c r="L158" s="88">
        <f t="shared" si="49"/>
        <v>4589</v>
      </c>
      <c r="M158" s="58">
        <v>20000</v>
      </c>
      <c r="N158" s="58">
        <f t="shared" si="50"/>
        <v>1652040</v>
      </c>
      <c r="O158" s="59"/>
    </row>
    <row r="159" spans="1:15" ht="18.75" customHeight="1">
      <c r="A159" s="60">
        <f t="shared" si="51"/>
        <v>7</v>
      </c>
      <c r="B159" s="61" t="s">
        <v>42</v>
      </c>
      <c r="C159" s="97">
        <v>8</v>
      </c>
      <c r="D159" s="63">
        <v>5600000</v>
      </c>
      <c r="E159" s="102">
        <f t="shared" si="52"/>
        <v>44800000</v>
      </c>
      <c r="G159" s="64">
        <v>42685</v>
      </c>
      <c r="H159" s="64">
        <v>42702</v>
      </c>
      <c r="I159" s="56" t="s">
        <v>126</v>
      </c>
      <c r="J159" s="56">
        <f t="shared" si="48"/>
        <v>18</v>
      </c>
      <c r="K159" s="56">
        <f>900</f>
        <v>900</v>
      </c>
      <c r="L159" s="88">
        <f t="shared" si="49"/>
        <v>11700</v>
      </c>
      <c r="M159" s="58">
        <v>20000</v>
      </c>
      <c r="N159" s="58">
        <f t="shared" si="50"/>
        <v>4212000</v>
      </c>
      <c r="O159" s="59"/>
    </row>
    <row r="160" spans="1:15" ht="18.75" customHeight="1">
      <c r="A160" s="60">
        <f t="shared" si="51"/>
        <v>8</v>
      </c>
      <c r="B160" s="61" t="s">
        <v>43</v>
      </c>
      <c r="C160" s="97">
        <v>8</v>
      </c>
      <c r="D160" s="63">
        <f>88*22500</f>
        <v>1980000</v>
      </c>
      <c r="E160" s="102">
        <f t="shared" si="52"/>
        <v>15840000</v>
      </c>
      <c r="G160" s="64">
        <v>42685</v>
      </c>
      <c r="H160" s="64">
        <v>42702</v>
      </c>
      <c r="I160" s="56" t="s">
        <v>127</v>
      </c>
      <c r="J160" s="56">
        <f t="shared" si="48"/>
        <v>18</v>
      </c>
      <c r="K160" s="56">
        <v>900</v>
      </c>
      <c r="L160" s="88">
        <f t="shared" si="49"/>
        <v>11700</v>
      </c>
      <c r="M160" s="58">
        <v>20000</v>
      </c>
      <c r="N160" s="58">
        <f t="shared" si="50"/>
        <v>4212000</v>
      </c>
      <c r="O160" s="59"/>
    </row>
    <row r="161" spans="1:15" ht="18.75" customHeight="1">
      <c r="A161" s="60">
        <f t="shared" si="51"/>
        <v>9</v>
      </c>
      <c r="B161" s="61" t="s">
        <v>44</v>
      </c>
      <c r="C161" s="97">
        <v>8</v>
      </c>
      <c r="D161" s="63">
        <v>1350000</v>
      </c>
      <c r="E161" s="102">
        <f>C161*D161</f>
        <v>10800000</v>
      </c>
      <c r="G161" s="64">
        <v>42688</v>
      </c>
      <c r="H161" s="64">
        <v>42702</v>
      </c>
      <c r="I161" s="56" t="s">
        <v>87</v>
      </c>
      <c r="J161" s="56">
        <f t="shared" si="48"/>
        <v>15</v>
      </c>
      <c r="K161" s="56">
        <v>404</v>
      </c>
      <c r="L161" s="88">
        <f t="shared" si="49"/>
        <v>5252</v>
      </c>
      <c r="M161" s="58">
        <v>20000</v>
      </c>
      <c r="N161" s="58">
        <f t="shared" si="50"/>
        <v>1575600</v>
      </c>
      <c r="O161" s="59"/>
    </row>
    <row r="162" spans="1:15" ht="18.75" customHeight="1">
      <c r="A162" s="60">
        <f t="shared" si="51"/>
        <v>10</v>
      </c>
      <c r="B162" s="61" t="s">
        <v>79</v>
      </c>
      <c r="C162" s="97">
        <v>8</v>
      </c>
      <c r="D162" s="63">
        <v>2500000</v>
      </c>
      <c r="E162" s="102">
        <f t="shared" ref="E162" si="53">C162*D162</f>
        <v>20000000</v>
      </c>
      <c r="G162" s="64">
        <v>42693</v>
      </c>
      <c r="H162" s="64"/>
      <c r="I162" s="56" t="s">
        <v>148</v>
      </c>
      <c r="J162" s="56" t="str">
        <f t="shared" si="48"/>
        <v/>
      </c>
      <c r="K162" s="56">
        <v>-34</v>
      </c>
      <c r="L162" s="88">
        <f t="shared" si="49"/>
        <v>-442</v>
      </c>
      <c r="M162" s="58"/>
      <c r="N162" s="58" t="str">
        <f t="shared" si="50"/>
        <v/>
      </c>
      <c r="O162" s="59"/>
    </row>
    <row r="163" spans="1:15" ht="18.75" customHeight="1">
      <c r="A163" s="60">
        <f t="shared" si="51"/>
        <v>11</v>
      </c>
      <c r="B163" s="61" t="s">
        <v>45</v>
      </c>
      <c r="C163" s="97">
        <v>208</v>
      </c>
      <c r="D163" s="63">
        <v>50000</v>
      </c>
      <c r="E163" s="102">
        <f>C163*D163</f>
        <v>10400000</v>
      </c>
      <c r="G163" s="64">
        <v>42699</v>
      </c>
      <c r="H163" s="64">
        <v>42702</v>
      </c>
      <c r="I163" s="56" t="s">
        <v>91</v>
      </c>
      <c r="J163" s="56">
        <f t="shared" si="48"/>
        <v>4</v>
      </c>
      <c r="K163" s="56">
        <v>100</v>
      </c>
      <c r="L163" s="88">
        <f t="shared" si="49"/>
        <v>1300</v>
      </c>
      <c r="M163" s="58">
        <v>20000</v>
      </c>
      <c r="N163" s="58">
        <f t="shared" si="50"/>
        <v>104000</v>
      </c>
      <c r="O163" s="59"/>
    </row>
    <row r="164" spans="1:15" ht="18.75" customHeight="1">
      <c r="A164" s="60">
        <f t="shared" si="51"/>
        <v>12</v>
      </c>
      <c r="B164" s="61" t="s">
        <v>195</v>
      </c>
      <c r="C164" s="97">
        <v>10</v>
      </c>
      <c r="D164" s="63">
        <v>140000</v>
      </c>
      <c r="E164" s="102">
        <f>C164*D164</f>
        <v>1400000</v>
      </c>
      <c r="G164" s="64">
        <v>42705</v>
      </c>
      <c r="H164" s="64">
        <v>42705</v>
      </c>
      <c r="I164" s="56" t="s">
        <v>187</v>
      </c>
      <c r="J164" s="56">
        <f>IF(H164&lt;&gt;"",H164-G164,"")</f>
        <v>0</v>
      </c>
      <c r="K164" s="56">
        <v>2000</v>
      </c>
      <c r="L164" s="88">
        <f t="shared" si="49"/>
        <v>26000</v>
      </c>
      <c r="M164" s="58">
        <v>20000</v>
      </c>
      <c r="N164" s="58">
        <f t="shared" si="50"/>
        <v>0</v>
      </c>
      <c r="O164" s="59"/>
    </row>
    <row r="165" spans="1:15" ht="18.75" customHeight="1">
      <c r="A165" s="60">
        <f t="shared" si="51"/>
        <v>13</v>
      </c>
      <c r="B165" s="61" t="s">
        <v>196</v>
      </c>
      <c r="C165" s="97">
        <v>10</v>
      </c>
      <c r="D165" s="63">
        <v>110000</v>
      </c>
      <c r="E165" s="102">
        <f t="shared" ref="E165:E166" si="54">C165*D165</f>
        <v>1100000</v>
      </c>
      <c r="G165" s="64">
        <v>42705</v>
      </c>
      <c r="H165" s="64">
        <v>42705</v>
      </c>
      <c r="I165" s="56" t="s">
        <v>188</v>
      </c>
      <c r="J165" s="56">
        <f t="shared" ref="J165:J166" si="55">IF(H165&lt;&gt;"",H165-G165,"")</f>
        <v>0</v>
      </c>
      <c r="K165" s="56">
        <v>2000</v>
      </c>
      <c r="L165" s="88">
        <f t="shared" ref="L165:L171" si="56">K165*13</f>
        <v>26000</v>
      </c>
      <c r="M165" s="58">
        <v>20000</v>
      </c>
      <c r="N165" s="58">
        <f t="shared" ref="N165:N171" si="57">IF(J165&lt;&gt;"",M165*L165*J165/1000,"")</f>
        <v>0</v>
      </c>
      <c r="O165" s="59"/>
    </row>
    <row r="166" spans="1:15" ht="18.75" customHeight="1">
      <c r="A166" s="60">
        <f t="shared" si="51"/>
        <v>14</v>
      </c>
      <c r="B166" s="61" t="s">
        <v>197</v>
      </c>
      <c r="C166" s="97">
        <v>10</v>
      </c>
      <c r="D166" s="63">
        <v>110000</v>
      </c>
      <c r="E166" s="102">
        <f t="shared" si="54"/>
        <v>1100000</v>
      </c>
      <c r="G166" s="64">
        <v>42705</v>
      </c>
      <c r="H166" s="64">
        <v>42705</v>
      </c>
      <c r="I166" s="56" t="s">
        <v>189</v>
      </c>
      <c r="J166" s="56">
        <f t="shared" si="55"/>
        <v>0</v>
      </c>
      <c r="K166" s="56">
        <v>1999</v>
      </c>
      <c r="L166" s="88">
        <f t="shared" si="56"/>
        <v>25987</v>
      </c>
      <c r="M166" s="58">
        <v>20000</v>
      </c>
      <c r="N166" s="58">
        <f t="shared" si="57"/>
        <v>0</v>
      </c>
      <c r="O166" s="59"/>
    </row>
    <row r="167" spans="1:15" ht="18.75" customHeight="1">
      <c r="A167" s="60">
        <f t="shared" si="51"/>
        <v>15</v>
      </c>
      <c r="B167" s="61" t="s">
        <v>46</v>
      </c>
      <c r="C167" s="97"/>
      <c r="D167" s="63"/>
      <c r="E167" s="102">
        <f>N173</f>
        <v>21434660</v>
      </c>
      <c r="G167" s="64">
        <v>42699</v>
      </c>
      <c r="H167" s="64">
        <v>42706</v>
      </c>
      <c r="I167" s="56" t="s">
        <v>91</v>
      </c>
      <c r="J167" s="56">
        <f t="shared" ref="J167:J171" si="58">IF(H167&lt;&gt;"",H167-G167+1,"")</f>
        <v>8</v>
      </c>
      <c r="K167" s="56">
        <v>200</v>
      </c>
      <c r="L167" s="88">
        <f t="shared" si="56"/>
        <v>2600</v>
      </c>
      <c r="M167" s="58">
        <v>20000</v>
      </c>
      <c r="N167" s="58">
        <f t="shared" si="57"/>
        <v>416000</v>
      </c>
      <c r="O167" s="59"/>
    </row>
    <row r="168" spans="1:15" ht="18.75" customHeight="1">
      <c r="A168" s="60"/>
      <c r="B168" s="61"/>
      <c r="C168" s="97"/>
      <c r="D168" s="63"/>
      <c r="E168" s="102"/>
      <c r="G168" s="64">
        <v>42699</v>
      </c>
      <c r="H168" s="64">
        <v>42706</v>
      </c>
      <c r="I168" s="56" t="s">
        <v>84</v>
      </c>
      <c r="J168" s="56">
        <f t="shared" si="58"/>
        <v>8</v>
      </c>
      <c r="K168" s="56">
        <v>400</v>
      </c>
      <c r="L168" s="88">
        <f t="shared" si="56"/>
        <v>5200</v>
      </c>
      <c r="M168" s="58">
        <v>20000</v>
      </c>
      <c r="N168" s="58">
        <f t="shared" si="57"/>
        <v>832000</v>
      </c>
      <c r="O168" s="59"/>
    </row>
    <row r="169" spans="1:15" ht="18.75" customHeight="1">
      <c r="A169" s="60"/>
      <c r="B169" s="61"/>
      <c r="C169" s="97"/>
      <c r="D169" s="63"/>
      <c r="E169" s="102"/>
      <c r="G169" s="64">
        <v>42702</v>
      </c>
      <c r="H169" s="64">
        <v>42706</v>
      </c>
      <c r="I169" s="56" t="s">
        <v>86</v>
      </c>
      <c r="J169" s="56">
        <f t="shared" si="58"/>
        <v>5</v>
      </c>
      <c r="K169" s="56">
        <v>413</v>
      </c>
      <c r="L169" s="88">
        <f t="shared" si="56"/>
        <v>5369</v>
      </c>
      <c r="M169" s="58">
        <v>20000</v>
      </c>
      <c r="N169" s="58">
        <f t="shared" si="57"/>
        <v>536900</v>
      </c>
      <c r="O169" s="59"/>
    </row>
    <row r="170" spans="1:15" ht="18.75" customHeight="1">
      <c r="A170" s="60"/>
      <c r="B170" s="61"/>
      <c r="C170" s="97"/>
      <c r="D170" s="63"/>
      <c r="E170" s="102"/>
      <c r="G170" s="64">
        <v>42702</v>
      </c>
      <c r="H170" s="64">
        <v>42706</v>
      </c>
      <c r="I170" s="56" t="s">
        <v>180</v>
      </c>
      <c r="J170" s="56">
        <f t="shared" si="58"/>
        <v>5</v>
      </c>
      <c r="K170" s="56">
        <v>418</v>
      </c>
      <c r="L170" s="88">
        <f t="shared" si="56"/>
        <v>5434</v>
      </c>
      <c r="M170" s="58">
        <v>20000</v>
      </c>
      <c r="N170" s="58">
        <f t="shared" si="57"/>
        <v>543400</v>
      </c>
      <c r="O170" s="59"/>
    </row>
    <row r="171" spans="1:15" ht="18.75" customHeight="1">
      <c r="A171" s="60"/>
      <c r="B171" s="61"/>
      <c r="C171" s="97"/>
      <c r="D171" s="63"/>
      <c r="E171" s="102"/>
      <c r="G171" s="64">
        <v>42702</v>
      </c>
      <c r="H171" s="64">
        <v>42706</v>
      </c>
      <c r="I171" s="56" t="s">
        <v>181</v>
      </c>
      <c r="J171" s="56">
        <f t="shared" si="58"/>
        <v>5</v>
      </c>
      <c r="K171" s="56">
        <f>582-12</f>
        <v>570</v>
      </c>
      <c r="L171" s="88">
        <f t="shared" si="56"/>
        <v>7410</v>
      </c>
      <c r="M171" s="58">
        <v>20000</v>
      </c>
      <c r="N171" s="58">
        <f t="shared" si="57"/>
        <v>741000</v>
      </c>
      <c r="O171" s="59"/>
    </row>
    <row r="172" spans="1:15" ht="7.5" customHeight="1">
      <c r="A172" s="60"/>
      <c r="B172" s="61"/>
      <c r="C172" s="97"/>
      <c r="D172" s="63"/>
      <c r="E172" s="102"/>
      <c r="G172" s="66"/>
      <c r="H172" s="66"/>
      <c r="I172" s="67"/>
      <c r="J172" s="67"/>
      <c r="K172" s="67"/>
      <c r="L172" s="68"/>
      <c r="M172" s="69"/>
      <c r="N172" s="69"/>
    </row>
    <row r="173" spans="1:15" ht="18.75" customHeight="1">
      <c r="A173" s="70"/>
      <c r="B173" s="70" t="s">
        <v>48</v>
      </c>
      <c r="C173" s="98"/>
      <c r="D173" s="72"/>
      <c r="E173" s="74">
        <f>SUM(E153:E172)</f>
        <v>420704884</v>
      </c>
      <c r="F173" s="4"/>
      <c r="G173" s="73"/>
      <c r="H173" s="73"/>
      <c r="I173" s="73" t="s">
        <v>48</v>
      </c>
      <c r="J173" s="73"/>
      <c r="K173" s="89">
        <f>SUM(K153:K172)</f>
        <v>12000</v>
      </c>
      <c r="L173" s="89">
        <f>SUM(L153:L172)</f>
        <v>156000</v>
      </c>
      <c r="M173" s="89"/>
      <c r="N173" s="74">
        <f>SUM(N153:N172)</f>
        <v>21434660</v>
      </c>
    </row>
    <row r="174" spans="1:15" ht="7.5" customHeight="1"/>
    <row r="175" spans="1:15" s="3" customFormat="1">
      <c r="A175" s="5"/>
      <c r="B175" s="5"/>
      <c r="C175" s="99"/>
      <c r="D175" s="7" t="s">
        <v>49</v>
      </c>
      <c r="E175" s="103">
        <f>E173/C153</f>
        <v>2022.6196346153847</v>
      </c>
      <c r="F175" s="5"/>
    </row>
    <row r="177" spans="1:14" ht="31.5" customHeight="1">
      <c r="A177" s="73" t="s">
        <v>0</v>
      </c>
      <c r="B177" s="125" t="s">
        <v>21</v>
      </c>
      <c r="C177" s="105" t="s">
        <v>50</v>
      </c>
      <c r="D177" s="106" t="s">
        <v>51</v>
      </c>
      <c r="E177" s="106" t="s">
        <v>9</v>
      </c>
      <c r="F177" s="876" t="s">
        <v>117</v>
      </c>
      <c r="G177" s="877"/>
      <c r="H177" s="878"/>
      <c r="I177" s="106" t="s">
        <v>52</v>
      </c>
    </row>
    <row r="178" spans="1:14">
      <c r="A178" s="60">
        <v>1</v>
      </c>
      <c r="B178" s="61" t="s">
        <v>176</v>
      </c>
      <c r="C178" s="97">
        <v>145588</v>
      </c>
      <c r="D178" s="63">
        <v>22620</v>
      </c>
      <c r="E178" s="63">
        <f>C178*D178</f>
        <v>3293200560</v>
      </c>
      <c r="F178" s="873"/>
      <c r="G178" s="874"/>
      <c r="H178" s="875"/>
      <c r="I178" s="63"/>
    </row>
    <row r="179" spans="1:14">
      <c r="A179" s="60">
        <v>2</v>
      </c>
      <c r="B179" s="61" t="s">
        <v>123</v>
      </c>
      <c r="C179" s="97"/>
      <c r="D179" s="63"/>
      <c r="E179" s="63"/>
      <c r="F179" s="873">
        <v>1825573</v>
      </c>
      <c r="G179" s="874"/>
      <c r="H179" s="875"/>
      <c r="I179" s="63"/>
    </row>
    <row r="180" spans="1:14">
      <c r="A180" s="60">
        <v>3</v>
      </c>
      <c r="B180" s="124" t="s">
        <v>152</v>
      </c>
      <c r="C180" s="63"/>
      <c r="D180" s="63"/>
      <c r="E180" s="63">
        <f t="shared" ref="E180:E181" si="59">C180*D180</f>
        <v>0</v>
      </c>
      <c r="F180" s="873">
        <f>ROUND(I180*0.033%,0)</f>
        <v>497640</v>
      </c>
      <c r="G180" s="874"/>
      <c r="H180" s="875"/>
      <c r="I180" s="63">
        <v>1508000000</v>
      </c>
    </row>
    <row r="181" spans="1:14">
      <c r="A181" s="60">
        <v>4</v>
      </c>
      <c r="B181" s="61" t="s">
        <v>142</v>
      </c>
      <c r="C181" s="62"/>
      <c r="D181" s="63"/>
      <c r="E181" s="63">
        <f t="shared" si="59"/>
        <v>0</v>
      </c>
      <c r="F181" s="873">
        <f>ROUND(I181*0.033%,0)</f>
        <v>552453</v>
      </c>
      <c r="G181" s="874"/>
      <c r="H181" s="875"/>
      <c r="I181" s="63">
        <v>1674100000</v>
      </c>
    </row>
    <row r="182" spans="1:14">
      <c r="A182" s="60">
        <v>5</v>
      </c>
      <c r="B182" s="61" t="s">
        <v>56</v>
      </c>
      <c r="C182" s="62"/>
      <c r="D182" s="63"/>
      <c r="E182" s="63">
        <f>C182*D182</f>
        <v>0</v>
      </c>
      <c r="F182" s="873"/>
      <c r="G182" s="874"/>
      <c r="H182" s="875"/>
      <c r="I182" s="63"/>
    </row>
    <row r="183" spans="1:14" ht="6" customHeight="1">
      <c r="A183" s="112"/>
      <c r="B183" s="115"/>
      <c r="C183" s="116"/>
      <c r="D183" s="113"/>
      <c r="E183" s="113"/>
      <c r="F183" s="880"/>
      <c r="G183" s="881"/>
      <c r="H183" s="882"/>
      <c r="I183" s="113"/>
    </row>
    <row r="184" spans="1:14">
      <c r="A184" s="70"/>
      <c r="B184" s="70" t="s">
        <v>57</v>
      </c>
      <c r="C184" s="71"/>
      <c r="D184" s="72"/>
      <c r="E184" s="72">
        <f>SUM(E178:E183)</f>
        <v>3293200560</v>
      </c>
      <c r="F184" s="870">
        <f>SUM(F178:H183)</f>
        <v>2875666</v>
      </c>
      <c r="G184" s="871"/>
      <c r="H184" s="872"/>
      <c r="I184" s="72">
        <f>SUM(I178:I183)</f>
        <v>3182100000</v>
      </c>
    </row>
    <row r="185" spans="1:14" ht="6.75" customHeight="1">
      <c r="I185" s="122"/>
    </row>
    <row r="186" spans="1:14" s="4" customFormat="1">
      <c r="C186" s="130"/>
      <c r="D186" s="81"/>
      <c r="E186" s="131"/>
      <c r="G186" s="8" t="s">
        <v>185</v>
      </c>
      <c r="H186" s="8"/>
      <c r="I186" s="132">
        <f>E184-F184-I184</f>
        <v>108224894</v>
      </c>
      <c r="J186" s="8"/>
      <c r="K186" s="8"/>
      <c r="L186" s="8"/>
      <c r="M186" s="8"/>
      <c r="N186" s="8"/>
    </row>
    <row r="187" spans="1:14" s="4" customFormat="1">
      <c r="C187" s="130"/>
      <c r="D187" s="81"/>
      <c r="E187" s="131"/>
      <c r="G187" s="8"/>
      <c r="H187" s="8"/>
      <c r="I187" s="132"/>
      <c r="J187" s="8"/>
      <c r="K187" s="8"/>
      <c r="L187" s="8"/>
      <c r="M187" s="8"/>
      <c r="N187" s="8"/>
    </row>
    <row r="188" spans="1:14" ht="31.5" customHeight="1">
      <c r="A188" s="73" t="s">
        <v>0</v>
      </c>
      <c r="B188" s="126" t="s">
        <v>21</v>
      </c>
      <c r="C188" s="105" t="s">
        <v>50</v>
      </c>
      <c r="D188" s="106" t="s">
        <v>51</v>
      </c>
      <c r="E188" s="106" t="s">
        <v>9</v>
      </c>
      <c r="F188" s="876" t="s">
        <v>117</v>
      </c>
      <c r="G188" s="877"/>
      <c r="H188" s="878"/>
      <c r="I188" s="106" t="s">
        <v>52</v>
      </c>
    </row>
    <row r="189" spans="1:14">
      <c r="A189" s="60">
        <v>1</v>
      </c>
      <c r="B189" s="61" t="s">
        <v>191</v>
      </c>
      <c r="C189" s="97">
        <v>291188</v>
      </c>
      <c r="D189" s="63">
        <v>22650</v>
      </c>
      <c r="E189" s="63">
        <f>C189*D189</f>
        <v>6595408200</v>
      </c>
      <c r="F189" s="873"/>
      <c r="G189" s="874"/>
      <c r="H189" s="875"/>
      <c r="I189" s="63"/>
    </row>
    <row r="190" spans="1:14">
      <c r="A190" s="60">
        <v>2</v>
      </c>
      <c r="B190" s="61" t="s">
        <v>194</v>
      </c>
      <c r="C190" s="97"/>
      <c r="D190" s="63"/>
      <c r="E190" s="63">
        <f>E184-I184-F184</f>
        <v>108224894</v>
      </c>
      <c r="F190" s="873"/>
      <c r="G190" s="874"/>
      <c r="H190" s="875"/>
      <c r="I190" s="63"/>
    </row>
    <row r="191" spans="1:14">
      <c r="A191" s="60">
        <v>3</v>
      </c>
      <c r="B191" s="61" t="s">
        <v>123</v>
      </c>
      <c r="C191" s="97"/>
      <c r="D191" s="63"/>
      <c r="E191" s="63"/>
      <c r="F191" s="873">
        <f>1825573*2</f>
        <v>3651146</v>
      </c>
      <c r="G191" s="874"/>
      <c r="H191" s="875"/>
      <c r="I191" s="63"/>
    </row>
    <row r="192" spans="1:14">
      <c r="A192" s="60">
        <v>4</v>
      </c>
      <c r="B192" s="61" t="s">
        <v>192</v>
      </c>
      <c r="C192" s="97"/>
      <c r="D192" s="63"/>
      <c r="E192" s="63"/>
      <c r="F192" s="127"/>
      <c r="G192" s="128"/>
      <c r="H192" s="129"/>
      <c r="I192" s="63">
        <f>E173</f>
        <v>420704884</v>
      </c>
    </row>
    <row r="193" spans="1:15">
      <c r="A193" s="60">
        <v>5</v>
      </c>
      <c r="B193" s="61" t="s">
        <v>193</v>
      </c>
      <c r="C193" s="97"/>
      <c r="D193" s="63"/>
      <c r="E193" s="63"/>
      <c r="F193" s="127"/>
      <c r="G193" s="128"/>
      <c r="H193" s="129"/>
      <c r="I193" s="63">
        <v>500000000</v>
      </c>
    </row>
    <row r="194" spans="1:15">
      <c r="A194" s="60">
        <v>6</v>
      </c>
      <c r="B194" s="61" t="s">
        <v>142</v>
      </c>
      <c r="C194" s="63"/>
      <c r="D194" s="63"/>
      <c r="E194" s="63">
        <f t="shared" ref="E194:E195" si="60">C194*D194</f>
        <v>0</v>
      </c>
      <c r="F194" s="873">
        <f>ROUND(I194*0.033%,0)</f>
        <v>963198</v>
      </c>
      <c r="G194" s="874"/>
      <c r="H194" s="875"/>
      <c r="I194" s="63">
        <f>2918480500+300000</f>
        <v>2918780500</v>
      </c>
    </row>
    <row r="195" spans="1:15">
      <c r="A195" s="60">
        <v>7</v>
      </c>
      <c r="B195" s="124" t="s">
        <v>152</v>
      </c>
      <c r="C195" s="62"/>
      <c r="D195" s="63"/>
      <c r="E195" s="63">
        <f t="shared" si="60"/>
        <v>0</v>
      </c>
      <c r="F195" s="873">
        <f>ROUND(I195*0.033%,0)</f>
        <v>602224</v>
      </c>
      <c r="G195" s="874"/>
      <c r="H195" s="875"/>
      <c r="I195" s="63">
        <v>1824920500</v>
      </c>
    </row>
    <row r="196" spans="1:15">
      <c r="A196" s="60">
        <v>8</v>
      </c>
      <c r="B196" s="124" t="s">
        <v>153</v>
      </c>
      <c r="C196" s="62"/>
      <c r="D196" s="63"/>
      <c r="E196" s="63"/>
      <c r="F196" s="873">
        <f>ROUND(I196*0.033%,0)</f>
        <v>182381</v>
      </c>
      <c r="G196" s="874"/>
      <c r="H196" s="875"/>
      <c r="I196" s="63">
        <v>552669000</v>
      </c>
    </row>
    <row r="197" spans="1:15">
      <c r="A197" s="60">
        <v>9</v>
      </c>
      <c r="B197" s="61" t="s">
        <v>56</v>
      </c>
      <c r="C197" s="62"/>
      <c r="D197" s="63"/>
      <c r="E197" s="63">
        <f>C197*D197</f>
        <v>0</v>
      </c>
      <c r="F197" s="873">
        <v>224782.55613005161</v>
      </c>
      <c r="G197" s="874"/>
      <c r="H197" s="875"/>
      <c r="I197" s="63">
        <v>480934478.44387001</v>
      </c>
    </row>
    <row r="198" spans="1:15" ht="6" customHeight="1">
      <c r="A198" s="112"/>
      <c r="B198" s="115"/>
      <c r="C198" s="116"/>
      <c r="D198" s="113"/>
      <c r="E198" s="113"/>
      <c r="F198" s="880"/>
      <c r="G198" s="881"/>
      <c r="H198" s="882"/>
      <c r="I198" s="113"/>
    </row>
    <row r="199" spans="1:15">
      <c r="A199" s="70"/>
      <c r="B199" s="70" t="s">
        <v>57</v>
      </c>
      <c r="C199" s="71"/>
      <c r="D199" s="72"/>
      <c r="E199" s="72">
        <f>SUM(E189:E198)</f>
        <v>6703633094</v>
      </c>
      <c r="F199" s="870">
        <f>SUM(F189:H198)</f>
        <v>5623731.5561300516</v>
      </c>
      <c r="G199" s="871"/>
      <c r="H199" s="872"/>
      <c r="I199" s="72">
        <f>SUM(I189:I198)</f>
        <v>6698009362.4438696</v>
      </c>
    </row>
    <row r="200" spans="1:15" ht="6.75" customHeight="1">
      <c r="I200" s="122"/>
    </row>
    <row r="201" spans="1:15" s="4" customFormat="1">
      <c r="C201" s="130"/>
      <c r="D201" s="81"/>
      <c r="E201" s="131"/>
      <c r="G201" s="8"/>
      <c r="H201" s="8"/>
      <c r="I201" s="132"/>
      <c r="J201" s="8"/>
      <c r="K201" s="8"/>
      <c r="L201" s="8"/>
      <c r="M201" s="8"/>
      <c r="N201" s="8"/>
    </row>
    <row r="202" spans="1:15" s="4" customFormat="1">
      <c r="C202" s="130"/>
      <c r="D202" s="81"/>
      <c r="E202" s="131"/>
      <c r="G202" s="8"/>
      <c r="H202" s="8"/>
      <c r="I202" s="132"/>
      <c r="J202" s="8"/>
      <c r="K202" s="8"/>
      <c r="L202" s="8"/>
      <c r="M202" s="8"/>
      <c r="N202" s="8"/>
    </row>
    <row r="205" spans="1:15" ht="43.5" customHeight="1">
      <c r="A205" s="879" t="s">
        <v>198</v>
      </c>
      <c r="B205" s="879"/>
      <c r="C205" s="879"/>
      <c r="D205" s="879"/>
      <c r="E205" s="879"/>
      <c r="F205" s="87"/>
      <c r="G205" s="2"/>
      <c r="H205" s="2"/>
    </row>
    <row r="206" spans="1:15" s="25" customFormat="1" ht="17.25" customHeight="1">
      <c r="B206" s="40"/>
      <c r="C206" s="94"/>
      <c r="D206" s="86"/>
      <c r="E206" s="100"/>
      <c r="F206" s="44"/>
      <c r="G206" s="45" t="s">
        <v>29</v>
      </c>
      <c r="I206" s="91"/>
    </row>
    <row r="207" spans="1:15" s="85" customFormat="1" ht="36.75" customHeight="1">
      <c r="A207" s="83" t="s">
        <v>0</v>
      </c>
      <c r="B207" s="83" t="s">
        <v>21</v>
      </c>
      <c r="C207" s="95" t="s">
        <v>7</v>
      </c>
      <c r="D207" s="84" t="s">
        <v>8</v>
      </c>
      <c r="E207" s="49" t="s">
        <v>9</v>
      </c>
      <c r="G207" s="47" t="s">
        <v>30</v>
      </c>
      <c r="H207" s="47" t="s">
        <v>31</v>
      </c>
      <c r="I207" s="47" t="s">
        <v>103</v>
      </c>
      <c r="J207" s="47" t="s">
        <v>32</v>
      </c>
      <c r="K207" s="47" t="s">
        <v>83</v>
      </c>
      <c r="L207" s="46" t="s">
        <v>33</v>
      </c>
      <c r="M207" s="49" t="s">
        <v>106</v>
      </c>
      <c r="N207" s="49" t="s">
        <v>9</v>
      </c>
    </row>
    <row r="208" spans="1:15" ht="18.75" customHeight="1">
      <c r="A208" s="60">
        <f>ROW()-207</f>
        <v>1</v>
      </c>
      <c r="B208" s="51" t="s">
        <v>35</v>
      </c>
      <c r="C208" s="96">
        <v>365755</v>
      </c>
      <c r="D208" s="53">
        <v>300</v>
      </c>
      <c r="E208" s="101">
        <f t="shared" ref="E208:E211" si="61">C208*D208</f>
        <v>109726500</v>
      </c>
      <c r="G208" s="64">
        <v>42710</v>
      </c>
      <c r="H208" s="64">
        <v>42710</v>
      </c>
      <c r="I208" s="56" t="s">
        <v>199</v>
      </c>
      <c r="J208" s="56"/>
      <c r="K208" s="56">
        <v>2027</v>
      </c>
      <c r="L208" s="88">
        <f t="shared" ref="L208:L218" si="62">K208*13</f>
        <v>26351</v>
      </c>
      <c r="M208" s="58">
        <v>20000</v>
      </c>
      <c r="N208" s="58" t="str">
        <f t="shared" ref="N208:N220" si="63">IF(J208&lt;&gt;"",M208*L208*J208/1000,"")</f>
        <v/>
      </c>
      <c r="O208" s="59"/>
    </row>
    <row r="209" spans="1:15" ht="18.75" customHeight="1">
      <c r="A209" s="60">
        <f t="shared" ref="A209:A218" si="64">ROW()-207</f>
        <v>2</v>
      </c>
      <c r="B209" s="61" t="s">
        <v>37</v>
      </c>
      <c r="C209" s="97">
        <v>14</v>
      </c>
      <c r="D209" s="63">
        <v>2000000</v>
      </c>
      <c r="E209" s="102">
        <f t="shared" si="61"/>
        <v>28000000</v>
      </c>
      <c r="G209" s="64">
        <v>42710</v>
      </c>
      <c r="H209" s="64">
        <v>42710</v>
      </c>
      <c r="I209" s="56" t="s">
        <v>200</v>
      </c>
      <c r="J209" s="56"/>
      <c r="K209" s="56">
        <v>2027</v>
      </c>
      <c r="L209" s="88">
        <f t="shared" si="62"/>
        <v>26351</v>
      </c>
      <c r="M209" s="58">
        <v>20000</v>
      </c>
      <c r="N209" s="58" t="str">
        <f t="shared" si="63"/>
        <v/>
      </c>
      <c r="O209" s="59"/>
    </row>
    <row r="210" spans="1:15" ht="18.75" customHeight="1">
      <c r="A210" s="60">
        <f t="shared" si="64"/>
        <v>3</v>
      </c>
      <c r="B210" s="61" t="s">
        <v>38</v>
      </c>
      <c r="C210" s="97">
        <v>14</v>
      </c>
      <c r="D210" s="63">
        <v>2000000</v>
      </c>
      <c r="E210" s="102">
        <f t="shared" si="61"/>
        <v>28000000</v>
      </c>
      <c r="G210" s="64">
        <v>42711</v>
      </c>
      <c r="H210" s="64">
        <v>42711</v>
      </c>
      <c r="I210" s="56" t="s">
        <v>202</v>
      </c>
      <c r="J210" s="56"/>
      <c r="K210" s="56">
        <v>2027</v>
      </c>
      <c r="L210" s="88">
        <f t="shared" si="62"/>
        <v>26351</v>
      </c>
      <c r="M210" s="58">
        <v>20000</v>
      </c>
      <c r="N210" s="58" t="str">
        <f t="shared" si="63"/>
        <v/>
      </c>
      <c r="O210" s="59"/>
    </row>
    <row r="211" spans="1:15" ht="18.75" customHeight="1">
      <c r="A211" s="60">
        <f t="shared" si="64"/>
        <v>4</v>
      </c>
      <c r="B211" s="61" t="s">
        <v>39</v>
      </c>
      <c r="C211" s="97">
        <v>14</v>
      </c>
      <c r="D211" s="63">
        <v>600000</v>
      </c>
      <c r="E211" s="102">
        <f t="shared" si="61"/>
        <v>8400000</v>
      </c>
      <c r="G211" s="64">
        <v>42702</v>
      </c>
      <c r="H211" s="64">
        <v>42711</v>
      </c>
      <c r="I211" s="56" t="s">
        <v>181</v>
      </c>
      <c r="J211" s="56">
        <f t="shared" ref="J211:J218" si="65">IF(H211&lt;&gt;"",H211-G211+1,"")</f>
        <v>10</v>
      </c>
      <c r="K211" s="56">
        <v>12</v>
      </c>
      <c r="L211" s="88">
        <f t="shared" si="62"/>
        <v>156</v>
      </c>
      <c r="M211" s="58">
        <v>20000</v>
      </c>
      <c r="N211" s="58">
        <f t="shared" si="63"/>
        <v>31200</v>
      </c>
      <c r="O211" s="59"/>
    </row>
    <row r="212" spans="1:15" ht="18.75" customHeight="1">
      <c r="A212" s="60">
        <f t="shared" si="64"/>
        <v>5</v>
      </c>
      <c r="B212" s="61" t="s">
        <v>75</v>
      </c>
      <c r="C212" s="97">
        <v>14</v>
      </c>
      <c r="D212" s="63">
        <v>16725000</v>
      </c>
      <c r="E212" s="102">
        <f>C212*D212</f>
        <v>234150000</v>
      </c>
      <c r="G212" s="64">
        <v>42702</v>
      </c>
      <c r="H212" s="64">
        <v>42711</v>
      </c>
      <c r="I212" s="56" t="s">
        <v>100</v>
      </c>
      <c r="J212" s="56">
        <f t="shared" si="65"/>
        <v>10</v>
      </c>
      <c r="K212" s="56">
        <v>500</v>
      </c>
      <c r="L212" s="88">
        <f t="shared" si="62"/>
        <v>6500</v>
      </c>
      <c r="M212" s="58">
        <v>20000</v>
      </c>
      <c r="N212" s="58">
        <f t="shared" si="63"/>
        <v>1300000</v>
      </c>
      <c r="O212" s="59"/>
    </row>
    <row r="213" spans="1:15" ht="18.75" customHeight="1">
      <c r="A213" s="60">
        <f t="shared" si="64"/>
        <v>6</v>
      </c>
      <c r="B213" s="61" t="s">
        <v>41</v>
      </c>
      <c r="C213" s="97">
        <v>14</v>
      </c>
      <c r="D213" s="63">
        <v>9358000</v>
      </c>
      <c r="E213" s="102">
        <f t="shared" ref="E213:E214" si="66">C213*D213</f>
        <v>131012000</v>
      </c>
      <c r="G213" s="64">
        <v>42702</v>
      </c>
      <c r="H213" s="64">
        <v>42711</v>
      </c>
      <c r="I213" s="56" t="s">
        <v>182</v>
      </c>
      <c r="J213" s="56">
        <f t="shared" si="65"/>
        <v>10</v>
      </c>
      <c r="K213" s="56">
        <v>500</v>
      </c>
      <c r="L213" s="88">
        <f t="shared" si="62"/>
        <v>6500</v>
      </c>
      <c r="M213" s="58">
        <v>20000</v>
      </c>
      <c r="N213" s="58">
        <f t="shared" si="63"/>
        <v>1300000</v>
      </c>
      <c r="O213" s="59"/>
    </row>
    <row r="214" spans="1:15" ht="18.75" customHeight="1">
      <c r="A214" s="60">
        <f t="shared" si="64"/>
        <v>7</v>
      </c>
      <c r="B214" s="61" t="s">
        <v>42</v>
      </c>
      <c r="C214" s="97">
        <v>14</v>
      </c>
      <c r="D214" s="63">
        <v>5600000</v>
      </c>
      <c r="E214" s="102">
        <f t="shared" si="66"/>
        <v>78400000</v>
      </c>
      <c r="G214" s="64">
        <v>42702</v>
      </c>
      <c r="H214" s="64">
        <v>42711</v>
      </c>
      <c r="I214" s="56" t="s">
        <v>183</v>
      </c>
      <c r="J214" s="56">
        <f t="shared" si="65"/>
        <v>10</v>
      </c>
      <c r="K214" s="56">
        <v>810</v>
      </c>
      <c r="L214" s="88">
        <f t="shared" si="62"/>
        <v>10530</v>
      </c>
      <c r="M214" s="58">
        <v>20000</v>
      </c>
      <c r="N214" s="58">
        <f t="shared" si="63"/>
        <v>2106000</v>
      </c>
      <c r="O214" s="59"/>
    </row>
    <row r="215" spans="1:15" ht="18.75" customHeight="1">
      <c r="A215" s="60">
        <f t="shared" si="64"/>
        <v>8</v>
      </c>
      <c r="B215" s="61" t="s">
        <v>44</v>
      </c>
      <c r="C215" s="97">
        <v>7</v>
      </c>
      <c r="D215" s="63">
        <v>1350000</v>
      </c>
      <c r="E215" s="102">
        <f>C215*D215</f>
        <v>9450000</v>
      </c>
      <c r="G215" s="64">
        <v>42702</v>
      </c>
      <c r="H215" s="64">
        <v>42711</v>
      </c>
      <c r="I215" s="56" t="s">
        <v>184</v>
      </c>
      <c r="J215" s="56">
        <f t="shared" si="65"/>
        <v>10</v>
      </c>
      <c r="K215" s="56">
        <v>682</v>
      </c>
      <c r="L215" s="88">
        <f t="shared" si="62"/>
        <v>8866</v>
      </c>
      <c r="M215" s="58">
        <v>20000</v>
      </c>
      <c r="N215" s="58">
        <f t="shared" si="63"/>
        <v>1773200</v>
      </c>
      <c r="O215" s="59"/>
    </row>
    <row r="216" spans="1:15" ht="18.75" customHeight="1">
      <c r="A216" s="60">
        <f t="shared" si="64"/>
        <v>9</v>
      </c>
      <c r="B216" s="61" t="s">
        <v>79</v>
      </c>
      <c r="C216" s="97">
        <v>12</v>
      </c>
      <c r="D216" s="63">
        <v>2500000</v>
      </c>
      <c r="E216" s="102">
        <f t="shared" ref="E216" si="67">C216*D216</f>
        <v>30000000</v>
      </c>
      <c r="G216" s="64">
        <v>42702</v>
      </c>
      <c r="H216" s="64">
        <v>42711</v>
      </c>
      <c r="I216" s="56" t="s">
        <v>121</v>
      </c>
      <c r="J216" s="56">
        <f t="shared" si="65"/>
        <v>10</v>
      </c>
      <c r="K216" s="56">
        <v>894</v>
      </c>
      <c r="L216" s="88">
        <f t="shared" si="62"/>
        <v>11622</v>
      </c>
      <c r="M216" s="58">
        <v>20000</v>
      </c>
      <c r="N216" s="58">
        <f t="shared" si="63"/>
        <v>2324400</v>
      </c>
      <c r="O216" s="59"/>
    </row>
    <row r="217" spans="1:15" ht="18.75" customHeight="1">
      <c r="A217" s="60">
        <f t="shared" si="64"/>
        <v>10</v>
      </c>
      <c r="B217" s="61" t="s">
        <v>45</v>
      </c>
      <c r="C217" s="97">
        <v>184</v>
      </c>
      <c r="D217" s="63">
        <v>50000</v>
      </c>
      <c r="E217" s="102">
        <f>C217*D217</f>
        <v>9200000</v>
      </c>
      <c r="G217" s="64">
        <v>42703</v>
      </c>
      <c r="H217" s="64">
        <v>42711</v>
      </c>
      <c r="I217" s="56" t="s">
        <v>85</v>
      </c>
      <c r="J217" s="56">
        <f t="shared" si="65"/>
        <v>9</v>
      </c>
      <c r="K217" s="56">
        <v>445</v>
      </c>
      <c r="L217" s="88">
        <f t="shared" si="62"/>
        <v>5785</v>
      </c>
      <c r="M217" s="58">
        <v>20000</v>
      </c>
      <c r="N217" s="58">
        <f t="shared" si="63"/>
        <v>1041300</v>
      </c>
      <c r="O217" s="59"/>
    </row>
    <row r="218" spans="1:15" ht="18.75" customHeight="1">
      <c r="A218" s="60">
        <f t="shared" si="64"/>
        <v>11</v>
      </c>
      <c r="B218" s="61" t="s">
        <v>46</v>
      </c>
      <c r="C218" s="97"/>
      <c r="D218" s="63"/>
      <c r="E218" s="102">
        <f>N222</f>
        <v>10369840</v>
      </c>
      <c r="G218" s="64">
        <v>42703</v>
      </c>
      <c r="H218" s="64">
        <v>42711</v>
      </c>
      <c r="I218" s="56" t="s">
        <v>186</v>
      </c>
      <c r="J218" s="56">
        <f t="shared" si="65"/>
        <v>9</v>
      </c>
      <c r="K218" s="56">
        <f>372-161</f>
        <v>211</v>
      </c>
      <c r="L218" s="88">
        <f t="shared" si="62"/>
        <v>2743</v>
      </c>
      <c r="M218" s="58">
        <v>20000</v>
      </c>
      <c r="N218" s="58">
        <f t="shared" si="63"/>
        <v>493740</v>
      </c>
      <c r="O218" s="59"/>
    </row>
    <row r="219" spans="1:15" ht="18.75" customHeight="1">
      <c r="A219" s="60"/>
      <c r="B219" s="61"/>
      <c r="C219" s="97"/>
      <c r="D219" s="63"/>
      <c r="E219" s="102"/>
      <c r="G219" s="64">
        <v>42716</v>
      </c>
      <c r="H219" s="64">
        <v>42716</v>
      </c>
      <c r="I219" s="56"/>
      <c r="J219" s="56"/>
      <c r="K219" s="56">
        <v>2000</v>
      </c>
      <c r="L219" s="88">
        <f t="shared" ref="L219:L220" si="68">K219*13</f>
        <v>26000</v>
      </c>
      <c r="M219" s="58">
        <v>20000</v>
      </c>
      <c r="N219" s="58" t="str">
        <f t="shared" si="63"/>
        <v/>
      </c>
      <c r="O219" s="59"/>
    </row>
    <row r="220" spans="1:15" ht="18.75" customHeight="1">
      <c r="A220" s="60"/>
      <c r="B220" s="61"/>
      <c r="C220" s="97"/>
      <c r="D220" s="63"/>
      <c r="E220" s="102"/>
      <c r="G220" s="64">
        <v>42716</v>
      </c>
      <c r="H220" s="64">
        <v>42716</v>
      </c>
      <c r="I220" s="56"/>
      <c r="J220" s="56"/>
      <c r="K220" s="56">
        <v>2000</v>
      </c>
      <c r="L220" s="88">
        <f t="shared" si="68"/>
        <v>26000</v>
      </c>
      <c r="M220" s="58">
        <v>20000</v>
      </c>
      <c r="N220" s="58" t="str">
        <f t="shared" si="63"/>
        <v/>
      </c>
      <c r="O220" s="59"/>
    </row>
    <row r="221" spans="1:15" ht="7.5" customHeight="1">
      <c r="A221" s="60"/>
      <c r="B221" s="61"/>
      <c r="C221" s="97"/>
      <c r="D221" s="63"/>
      <c r="E221" s="102"/>
      <c r="G221" s="66"/>
      <c r="H221" s="66"/>
      <c r="I221" s="67"/>
      <c r="J221" s="67"/>
      <c r="K221" s="67"/>
      <c r="L221" s="68"/>
      <c r="M221" s="69"/>
      <c r="N221" s="69"/>
    </row>
    <row r="222" spans="1:15" ht="18.75" customHeight="1">
      <c r="A222" s="70"/>
      <c r="B222" s="70" t="s">
        <v>48</v>
      </c>
      <c r="C222" s="98"/>
      <c r="D222" s="72"/>
      <c r="E222" s="74">
        <f>SUM(E208:E221)</f>
        <v>676708340</v>
      </c>
      <c r="F222" s="4"/>
      <c r="G222" s="73"/>
      <c r="H222" s="73"/>
      <c r="I222" s="73" t="s">
        <v>48</v>
      </c>
      <c r="J222" s="73"/>
      <c r="K222" s="89">
        <f>SUM(K208:K221)</f>
        <v>14135</v>
      </c>
      <c r="L222" s="89">
        <f>SUM(L208:L221)</f>
        <v>183755</v>
      </c>
      <c r="M222" s="89"/>
      <c r="N222" s="74">
        <f>SUM(N208:N221)</f>
        <v>10369840</v>
      </c>
    </row>
    <row r="223" spans="1:15" ht="7.5" customHeight="1"/>
    <row r="224" spans="1:15" s="3" customFormat="1">
      <c r="A224" s="5"/>
      <c r="B224" s="5"/>
      <c r="C224" s="99"/>
      <c r="D224" s="7" t="s">
        <v>49</v>
      </c>
      <c r="E224" s="103">
        <f>E222/C208</f>
        <v>1850.1683914095502</v>
      </c>
      <c r="F224" s="5"/>
    </row>
    <row r="226" spans="1:9" ht="31.5" customHeight="1">
      <c r="A226" s="73" t="s">
        <v>0</v>
      </c>
      <c r="B226" s="136" t="s">
        <v>21</v>
      </c>
      <c r="C226" s="105" t="s">
        <v>50</v>
      </c>
      <c r="D226" s="106" t="s">
        <v>51</v>
      </c>
      <c r="E226" s="106" t="s">
        <v>9</v>
      </c>
      <c r="F226" s="876" t="s">
        <v>117</v>
      </c>
      <c r="G226" s="877"/>
      <c r="H226" s="878"/>
      <c r="I226" s="106" t="s">
        <v>52</v>
      </c>
    </row>
    <row r="227" spans="1:9">
      <c r="A227" s="60">
        <v>1</v>
      </c>
      <c r="B227" s="61" t="s">
        <v>225</v>
      </c>
      <c r="C227" s="97">
        <v>291188</v>
      </c>
      <c r="D227" s="63">
        <v>22620</v>
      </c>
      <c r="E227" s="63">
        <f>C227*D227</f>
        <v>6586672560</v>
      </c>
      <c r="F227" s="873"/>
      <c r="G227" s="874"/>
      <c r="H227" s="875"/>
      <c r="I227" s="63"/>
    </row>
    <row r="228" spans="1:9">
      <c r="A228" s="60">
        <v>2</v>
      </c>
      <c r="B228" s="61" t="s">
        <v>123</v>
      </c>
      <c r="C228" s="97"/>
      <c r="D228" s="63"/>
      <c r="E228" s="63"/>
      <c r="F228" s="873">
        <f>1825573*2</f>
        <v>3651146</v>
      </c>
      <c r="G228" s="874"/>
      <c r="H228" s="875"/>
      <c r="I228" s="63"/>
    </row>
    <row r="229" spans="1:9">
      <c r="A229" s="60">
        <v>3</v>
      </c>
      <c r="B229" s="61" t="s">
        <v>226</v>
      </c>
      <c r="C229" s="97"/>
      <c r="D229" s="63"/>
      <c r="E229" s="63"/>
      <c r="F229" s="133"/>
      <c r="G229" s="134"/>
      <c r="H229" s="135"/>
      <c r="I229" s="63">
        <f>E222</f>
        <v>676708340</v>
      </c>
    </row>
    <row r="230" spans="1:9">
      <c r="A230" s="60">
        <v>4</v>
      </c>
      <c r="B230" s="61" t="s">
        <v>142</v>
      </c>
      <c r="C230" s="63"/>
      <c r="D230" s="63"/>
      <c r="E230" s="63">
        <f t="shared" ref="E230:E231" si="69">C230*D230</f>
        <v>0</v>
      </c>
      <c r="F230" s="873">
        <f>ROUND(I230*0.033%,0)</f>
        <v>476190</v>
      </c>
      <c r="G230" s="874"/>
      <c r="H230" s="875"/>
      <c r="I230" s="63">
        <v>1443000000</v>
      </c>
    </row>
    <row r="231" spans="1:9">
      <c r="A231" s="60">
        <v>5</v>
      </c>
      <c r="B231" s="124" t="s">
        <v>152</v>
      </c>
      <c r="C231" s="62"/>
      <c r="D231" s="63"/>
      <c r="E231" s="63">
        <f t="shared" si="69"/>
        <v>0</v>
      </c>
      <c r="F231" s="873">
        <f>ROUND(I231*0.033%,0)</f>
        <v>321557</v>
      </c>
      <c r="G231" s="874"/>
      <c r="H231" s="875"/>
      <c r="I231" s="63">
        <v>974415000</v>
      </c>
    </row>
    <row r="232" spans="1:9">
      <c r="A232" s="60">
        <v>6</v>
      </c>
      <c r="B232" s="124" t="s">
        <v>149</v>
      </c>
      <c r="C232" s="62"/>
      <c r="D232" s="63"/>
      <c r="E232" s="63"/>
      <c r="F232" s="873">
        <f>ROUND(I232*0.033%,0)</f>
        <v>155513</v>
      </c>
      <c r="G232" s="874"/>
      <c r="H232" s="875"/>
      <c r="I232" s="63">
        <v>471250000</v>
      </c>
    </row>
    <row r="233" spans="1:9">
      <c r="A233" s="60">
        <v>6</v>
      </c>
      <c r="B233" s="124" t="s">
        <v>227</v>
      </c>
      <c r="C233" s="62"/>
      <c r="D233" s="63"/>
      <c r="E233" s="63"/>
      <c r="F233" s="873">
        <f>ROUND(I233*0.033%,0)</f>
        <v>97190</v>
      </c>
      <c r="G233" s="874"/>
      <c r="H233" s="875"/>
      <c r="I233" s="63">
        <v>294515000</v>
      </c>
    </row>
    <row r="234" spans="1:9">
      <c r="A234" s="60">
        <v>7</v>
      </c>
      <c r="B234" s="61" t="s">
        <v>56</v>
      </c>
      <c r="C234" s="62"/>
      <c r="D234" s="63"/>
      <c r="E234" s="63">
        <f>C234*D234</f>
        <v>0</v>
      </c>
      <c r="F234" s="873">
        <f>ROUND(I234*0.033%,0)</f>
        <v>897991</v>
      </c>
      <c r="G234" s="874"/>
      <c r="H234" s="875"/>
      <c r="I234" s="63">
        <v>2721185000</v>
      </c>
    </row>
    <row r="235" spans="1:9" ht="6" customHeight="1">
      <c r="A235" s="112"/>
      <c r="B235" s="115"/>
      <c r="C235" s="116"/>
      <c r="D235" s="113"/>
      <c r="E235" s="113"/>
      <c r="F235" s="880"/>
      <c r="G235" s="881"/>
      <c r="H235" s="882"/>
      <c r="I235" s="113"/>
    </row>
    <row r="236" spans="1:9">
      <c r="A236" s="70"/>
      <c r="B236" s="70" t="s">
        <v>57</v>
      </c>
      <c r="C236" s="71"/>
      <c r="D236" s="72"/>
      <c r="E236" s="72">
        <f>SUM(E227:E235)</f>
        <v>6586672560</v>
      </c>
      <c r="F236" s="870">
        <f>SUM(F227:H235)</f>
        <v>5599587</v>
      </c>
      <c r="G236" s="871"/>
      <c r="H236" s="872"/>
      <c r="I236" s="72">
        <f>SUM(I227:I235)</f>
        <v>6581073340</v>
      </c>
    </row>
    <row r="237" spans="1:9">
      <c r="A237" s="109"/>
      <c r="B237" s="109"/>
      <c r="C237" s="110"/>
      <c r="D237" s="111"/>
      <c r="E237" s="111"/>
      <c r="F237" s="159"/>
      <c r="G237" s="159"/>
      <c r="H237" s="159"/>
      <c r="I237" s="111"/>
    </row>
    <row r="238" spans="1:9">
      <c r="A238" s="109"/>
      <c r="B238" s="109"/>
      <c r="C238" s="110"/>
      <c r="D238" s="111"/>
      <c r="E238" s="111"/>
      <c r="F238" s="159"/>
      <c r="G238" s="159"/>
      <c r="H238" s="159"/>
      <c r="I238" s="111"/>
    </row>
    <row r="239" spans="1:9">
      <c r="A239" s="109"/>
      <c r="B239" s="109"/>
      <c r="C239" s="110"/>
      <c r="D239" s="111"/>
      <c r="E239" s="111"/>
      <c r="F239" s="159"/>
      <c r="G239" s="159"/>
      <c r="H239" s="159"/>
      <c r="I239" s="111"/>
    </row>
    <row r="240" spans="1:9" ht="43.5" customHeight="1">
      <c r="A240" s="879" t="s">
        <v>277</v>
      </c>
      <c r="B240" s="879"/>
      <c r="C240" s="879"/>
      <c r="D240" s="879"/>
      <c r="E240" s="879"/>
      <c r="F240" s="87"/>
      <c r="G240" s="2"/>
      <c r="H240" s="2"/>
    </row>
    <row r="241" spans="1:15" s="25" customFormat="1" ht="17.25" customHeight="1">
      <c r="B241" s="40"/>
      <c r="C241" s="94"/>
      <c r="D241" s="86"/>
      <c r="E241" s="100"/>
      <c r="F241" s="44"/>
      <c r="G241" s="45" t="s">
        <v>29</v>
      </c>
      <c r="I241" s="91"/>
    </row>
    <row r="242" spans="1:15" s="85" customFormat="1" ht="36.75" customHeight="1">
      <c r="A242" s="83" t="s">
        <v>0</v>
      </c>
      <c r="B242" s="83" t="s">
        <v>21</v>
      </c>
      <c r="C242" s="95" t="s">
        <v>7</v>
      </c>
      <c r="D242" s="84" t="s">
        <v>8</v>
      </c>
      <c r="E242" s="49" t="s">
        <v>9</v>
      </c>
      <c r="G242" s="47" t="s">
        <v>30</v>
      </c>
      <c r="H242" s="47" t="s">
        <v>31</v>
      </c>
      <c r="I242" s="47" t="s">
        <v>103</v>
      </c>
      <c r="J242" s="47" t="s">
        <v>32</v>
      </c>
      <c r="K242" s="47" t="s">
        <v>83</v>
      </c>
      <c r="L242" s="46" t="s">
        <v>33</v>
      </c>
      <c r="M242" s="49" t="s">
        <v>106</v>
      </c>
      <c r="N242" s="49" t="s">
        <v>9</v>
      </c>
    </row>
    <row r="243" spans="1:15" ht="18.75" customHeight="1">
      <c r="A243" s="60">
        <f>ROW()-242</f>
        <v>1</v>
      </c>
      <c r="B243" s="51" t="s">
        <v>35</v>
      </c>
      <c r="C243" s="96">
        <v>314340</v>
      </c>
      <c r="D243" s="53">
        <v>300</v>
      </c>
      <c r="E243" s="101">
        <f t="shared" ref="E243:E246" si="70">C243*D243</f>
        <v>94302000</v>
      </c>
      <c r="G243" s="64">
        <v>42703</v>
      </c>
      <c r="H243" s="64">
        <v>42719</v>
      </c>
      <c r="I243" s="56" t="s">
        <v>186</v>
      </c>
      <c r="J243" s="56">
        <f t="shared" ref="J243:J255" si="71">IF(H243&lt;&gt;"",H243-G243+1,"")</f>
        <v>17</v>
      </c>
      <c r="K243" s="56">
        <v>161</v>
      </c>
      <c r="L243" s="88">
        <f t="shared" ref="L243:L256" si="72">K243*13</f>
        <v>2093</v>
      </c>
      <c r="M243" s="58">
        <v>20000</v>
      </c>
      <c r="N243" s="58">
        <f t="shared" ref="N243:N256" si="73">IF(J243&lt;&gt;"",M243*L243*J243/1000,"")</f>
        <v>711620</v>
      </c>
      <c r="O243" s="59"/>
    </row>
    <row r="244" spans="1:15" ht="18.75" customHeight="1">
      <c r="A244" s="60">
        <f t="shared" ref="A244:A253" si="74">ROW()-242</f>
        <v>2</v>
      </c>
      <c r="B244" s="61" t="s">
        <v>37</v>
      </c>
      <c r="C244" s="97">
        <v>12</v>
      </c>
      <c r="D244" s="63">
        <v>2000000</v>
      </c>
      <c r="E244" s="102">
        <f t="shared" si="70"/>
        <v>24000000</v>
      </c>
      <c r="G244" s="64">
        <v>42703</v>
      </c>
      <c r="H244" s="64">
        <v>42719</v>
      </c>
      <c r="I244" s="56" t="s">
        <v>90</v>
      </c>
      <c r="J244" s="56">
        <f t="shared" si="71"/>
        <v>17</v>
      </c>
      <c r="K244" s="56">
        <v>550</v>
      </c>
      <c r="L244" s="88">
        <f t="shared" si="72"/>
        <v>7150</v>
      </c>
      <c r="M244" s="58">
        <v>20000</v>
      </c>
      <c r="N244" s="58">
        <f t="shared" si="73"/>
        <v>2431000</v>
      </c>
      <c r="O244" s="59"/>
    </row>
    <row r="245" spans="1:15" ht="18.75" customHeight="1">
      <c r="A245" s="60">
        <f t="shared" si="74"/>
        <v>3</v>
      </c>
      <c r="B245" s="61" t="s">
        <v>38</v>
      </c>
      <c r="C245" s="97">
        <v>12</v>
      </c>
      <c r="D245" s="63">
        <v>2000000</v>
      </c>
      <c r="E245" s="102">
        <f t="shared" si="70"/>
        <v>24000000</v>
      </c>
      <c r="G245" s="64">
        <v>42703</v>
      </c>
      <c r="H245" s="64">
        <v>42719</v>
      </c>
      <c r="I245" s="56" t="s">
        <v>126</v>
      </c>
      <c r="J245" s="56">
        <f t="shared" si="71"/>
        <v>17</v>
      </c>
      <c r="K245" s="56">
        <v>683</v>
      </c>
      <c r="L245" s="88">
        <f t="shared" si="72"/>
        <v>8879</v>
      </c>
      <c r="M245" s="58">
        <v>20000</v>
      </c>
      <c r="N245" s="58">
        <f t="shared" si="73"/>
        <v>3018860</v>
      </c>
      <c r="O245" s="59"/>
    </row>
    <row r="246" spans="1:15" ht="18.75" customHeight="1">
      <c r="A246" s="60">
        <f t="shared" si="74"/>
        <v>4</v>
      </c>
      <c r="B246" s="61" t="s">
        <v>39</v>
      </c>
      <c r="C246" s="97">
        <v>12</v>
      </c>
      <c r="D246" s="63">
        <v>600000</v>
      </c>
      <c r="E246" s="102">
        <f t="shared" si="70"/>
        <v>7200000</v>
      </c>
      <c r="G246" s="64">
        <v>42710</v>
      </c>
      <c r="H246" s="64">
        <v>42719</v>
      </c>
      <c r="I246" s="56" t="s">
        <v>199</v>
      </c>
      <c r="J246" s="56">
        <f t="shared" si="71"/>
        <v>10</v>
      </c>
      <c r="K246" s="56">
        <v>2</v>
      </c>
      <c r="L246" s="88">
        <f t="shared" si="72"/>
        <v>26</v>
      </c>
      <c r="M246" s="58">
        <v>20000</v>
      </c>
      <c r="N246" s="58">
        <f t="shared" si="73"/>
        <v>5200</v>
      </c>
      <c r="O246" s="59"/>
    </row>
    <row r="247" spans="1:15" ht="18.75" customHeight="1">
      <c r="A247" s="60">
        <f t="shared" si="74"/>
        <v>5</v>
      </c>
      <c r="B247" s="61" t="s">
        <v>75</v>
      </c>
      <c r="C247" s="97">
        <v>12</v>
      </c>
      <c r="D247" s="63">
        <v>16725000</v>
      </c>
      <c r="E247" s="102">
        <f>C247*D247</f>
        <v>200700000</v>
      </c>
      <c r="G247" s="64">
        <v>42711</v>
      </c>
      <c r="H247" s="64">
        <v>42719</v>
      </c>
      <c r="I247" s="56" t="s">
        <v>203</v>
      </c>
      <c r="J247" s="56">
        <f t="shared" si="71"/>
        <v>9</v>
      </c>
      <c r="K247" s="56">
        <v>322</v>
      </c>
      <c r="L247" s="88">
        <f t="shared" si="72"/>
        <v>4186</v>
      </c>
      <c r="M247" s="58">
        <v>20000</v>
      </c>
      <c r="N247" s="58">
        <f t="shared" si="73"/>
        <v>753480</v>
      </c>
      <c r="O247" s="59"/>
    </row>
    <row r="248" spans="1:15" ht="18.75" customHeight="1">
      <c r="A248" s="60">
        <f t="shared" si="74"/>
        <v>6</v>
      </c>
      <c r="B248" s="61" t="s">
        <v>41</v>
      </c>
      <c r="C248" s="97">
        <v>12</v>
      </c>
      <c r="D248" s="63">
        <v>9358000</v>
      </c>
      <c r="E248" s="102">
        <f t="shared" ref="E248:E249" si="75">C248*D248</f>
        <v>112296000</v>
      </c>
      <c r="G248" s="64">
        <v>42716</v>
      </c>
      <c r="H248" s="64">
        <v>42719</v>
      </c>
      <c r="I248" s="56" t="s">
        <v>281</v>
      </c>
      <c r="J248" s="56">
        <f t="shared" si="71"/>
        <v>4</v>
      </c>
      <c r="K248" s="56">
        <v>450</v>
      </c>
      <c r="L248" s="88">
        <f t="shared" si="72"/>
        <v>5850</v>
      </c>
      <c r="M248" s="58">
        <v>20000</v>
      </c>
      <c r="N248" s="58">
        <f t="shared" si="73"/>
        <v>468000</v>
      </c>
      <c r="O248" s="59"/>
    </row>
    <row r="249" spans="1:15" ht="18.75" customHeight="1">
      <c r="A249" s="60">
        <f t="shared" si="74"/>
        <v>7</v>
      </c>
      <c r="B249" s="61" t="s">
        <v>42</v>
      </c>
      <c r="C249" s="97">
        <v>12</v>
      </c>
      <c r="D249" s="63">
        <v>5600000</v>
      </c>
      <c r="E249" s="102">
        <f t="shared" si="75"/>
        <v>67200000</v>
      </c>
      <c r="G249" s="64">
        <v>42716</v>
      </c>
      <c r="H249" s="64">
        <v>42719</v>
      </c>
      <c r="I249" s="56" t="s">
        <v>121</v>
      </c>
      <c r="J249" s="56">
        <f t="shared" si="71"/>
        <v>4</v>
      </c>
      <c r="K249" s="56">
        <v>900</v>
      </c>
      <c r="L249" s="88">
        <f t="shared" si="72"/>
        <v>11700</v>
      </c>
      <c r="M249" s="58">
        <v>20000</v>
      </c>
      <c r="N249" s="58">
        <f t="shared" si="73"/>
        <v>936000</v>
      </c>
      <c r="O249" s="59"/>
    </row>
    <row r="250" spans="1:15" ht="18.75" customHeight="1">
      <c r="A250" s="60">
        <f t="shared" si="74"/>
        <v>8</v>
      </c>
      <c r="B250" s="61" t="s">
        <v>44</v>
      </c>
      <c r="C250" s="97">
        <v>6</v>
      </c>
      <c r="D250" s="63">
        <v>1350000</v>
      </c>
      <c r="E250" s="102">
        <f>C250*D250</f>
        <v>8100000</v>
      </c>
      <c r="G250" s="64">
        <v>42716</v>
      </c>
      <c r="H250" s="64">
        <v>42719</v>
      </c>
      <c r="I250" s="56" t="s">
        <v>282</v>
      </c>
      <c r="J250" s="56">
        <f t="shared" si="71"/>
        <v>4</v>
      </c>
      <c r="K250" s="56">
        <v>660</v>
      </c>
      <c r="L250" s="88">
        <f t="shared" si="72"/>
        <v>8580</v>
      </c>
      <c r="M250" s="58">
        <v>20000</v>
      </c>
      <c r="N250" s="58">
        <f t="shared" si="73"/>
        <v>686400</v>
      </c>
      <c r="O250" s="59"/>
    </row>
    <row r="251" spans="1:15" ht="18.75" customHeight="1">
      <c r="A251" s="60">
        <f t="shared" si="74"/>
        <v>9</v>
      </c>
      <c r="B251" s="61" t="s">
        <v>79</v>
      </c>
      <c r="C251" s="97">
        <v>8</v>
      </c>
      <c r="D251" s="63">
        <v>2500000</v>
      </c>
      <c r="E251" s="102">
        <f t="shared" ref="E251" si="76">C251*D251</f>
        <v>20000000</v>
      </c>
      <c r="G251" s="64">
        <v>42716</v>
      </c>
      <c r="H251" s="64">
        <v>42719</v>
      </c>
      <c r="I251" s="56" t="s">
        <v>119</v>
      </c>
      <c r="J251" s="56">
        <f t="shared" ref="J251" si="77">IF(H251&lt;&gt;"",H251-G251+1,"")</f>
        <v>4</v>
      </c>
      <c r="K251" s="56">
        <v>272</v>
      </c>
      <c r="L251" s="88">
        <f t="shared" ref="L251" si="78">K251*13</f>
        <v>3536</v>
      </c>
      <c r="M251" s="58">
        <v>20000</v>
      </c>
      <c r="N251" s="58">
        <f t="shared" ref="N251" si="79">IF(J251&lt;&gt;"",M251*L251*J251/1000,"")</f>
        <v>282880</v>
      </c>
      <c r="O251" s="59"/>
    </row>
    <row r="252" spans="1:15" ht="18.75" customHeight="1">
      <c r="A252" s="60">
        <f t="shared" si="74"/>
        <v>10</v>
      </c>
      <c r="B252" s="61" t="s">
        <v>45</v>
      </c>
      <c r="C252" s="97">
        <v>105</v>
      </c>
      <c r="D252" s="63">
        <v>50000</v>
      </c>
      <c r="E252" s="102">
        <f>C252*D252</f>
        <v>5250000</v>
      </c>
      <c r="G252" s="64">
        <v>42716</v>
      </c>
      <c r="H252" s="64">
        <v>42723</v>
      </c>
      <c r="I252" s="56" t="s">
        <v>119</v>
      </c>
      <c r="J252" s="56">
        <f t="shared" si="71"/>
        <v>8</v>
      </c>
      <c r="K252" s="56">
        <f>838-K251</f>
        <v>566</v>
      </c>
      <c r="L252" s="88">
        <f t="shared" si="72"/>
        <v>7358</v>
      </c>
      <c r="M252" s="58">
        <v>20000</v>
      </c>
      <c r="N252" s="58">
        <f t="shared" si="73"/>
        <v>1177280</v>
      </c>
      <c r="O252" s="59"/>
    </row>
    <row r="253" spans="1:15" ht="18.75" customHeight="1">
      <c r="A253" s="60">
        <f t="shared" si="74"/>
        <v>11</v>
      </c>
      <c r="B253" s="61" t="s">
        <v>46</v>
      </c>
      <c r="C253" s="97"/>
      <c r="D253" s="63"/>
      <c r="E253" s="102">
        <f>N258</f>
        <v>12876500</v>
      </c>
      <c r="G253" s="64">
        <v>42717</v>
      </c>
      <c r="H253" s="64">
        <v>42723</v>
      </c>
      <c r="I253" s="56" t="s">
        <v>86</v>
      </c>
      <c r="J253" s="56">
        <f t="shared" si="71"/>
        <v>7</v>
      </c>
      <c r="K253" s="56">
        <v>469</v>
      </c>
      <c r="L253" s="88">
        <f t="shared" si="72"/>
        <v>6097</v>
      </c>
      <c r="M253" s="58">
        <v>20000</v>
      </c>
      <c r="N253" s="58">
        <f t="shared" si="73"/>
        <v>853580</v>
      </c>
      <c r="O253" s="59"/>
    </row>
    <row r="254" spans="1:15" ht="19.5" customHeight="1">
      <c r="A254" s="60"/>
      <c r="B254" s="61"/>
      <c r="C254" s="97"/>
      <c r="D254" s="63"/>
      <c r="E254" s="102"/>
      <c r="G254" s="64">
        <v>42718</v>
      </c>
      <c r="H254" s="64">
        <v>42723</v>
      </c>
      <c r="I254" s="56" t="s">
        <v>186</v>
      </c>
      <c r="J254" s="56">
        <f t="shared" si="71"/>
        <v>6</v>
      </c>
      <c r="K254" s="56">
        <v>625</v>
      </c>
      <c r="L254" s="88">
        <f t="shared" si="72"/>
        <v>8125</v>
      </c>
      <c r="M254" s="58">
        <v>20000</v>
      </c>
      <c r="N254" s="58">
        <f t="shared" si="73"/>
        <v>975000</v>
      </c>
      <c r="O254" s="59"/>
    </row>
    <row r="255" spans="1:15" ht="19.5" customHeight="1">
      <c r="A255" s="60"/>
      <c r="B255" s="61"/>
      <c r="C255" s="97"/>
      <c r="D255" s="63"/>
      <c r="E255" s="102"/>
      <c r="G255" s="64">
        <v>42718</v>
      </c>
      <c r="H255" s="64">
        <v>42723</v>
      </c>
      <c r="I255" s="56" t="s">
        <v>283</v>
      </c>
      <c r="J255" s="56">
        <f t="shared" si="71"/>
        <v>6</v>
      </c>
      <c r="K255" s="56">
        <f>394-24</f>
        <v>370</v>
      </c>
      <c r="L255" s="88">
        <f t="shared" si="72"/>
        <v>4810</v>
      </c>
      <c r="M255" s="58">
        <v>20000</v>
      </c>
      <c r="N255" s="58">
        <f t="shared" si="73"/>
        <v>577200</v>
      </c>
      <c r="O255" s="59"/>
    </row>
    <row r="256" spans="1:15" ht="19.5" customHeight="1">
      <c r="A256" s="60"/>
      <c r="B256" s="61"/>
      <c r="C256" s="97"/>
      <c r="D256" s="63"/>
      <c r="E256" s="102"/>
      <c r="G256" s="64">
        <v>42723</v>
      </c>
      <c r="H256" s="64">
        <v>42723</v>
      </c>
      <c r="I256" s="56" t="s">
        <v>284</v>
      </c>
      <c r="J256" s="56"/>
      <c r="K256" s="56">
        <v>2030</v>
      </c>
      <c r="L256" s="88">
        <f t="shared" si="72"/>
        <v>26390</v>
      </c>
      <c r="M256" s="58">
        <v>20000</v>
      </c>
      <c r="N256" s="58" t="str">
        <f t="shared" si="73"/>
        <v/>
      </c>
    </row>
    <row r="257" spans="1:14" ht="18.75" customHeight="1">
      <c r="A257" s="60"/>
      <c r="B257" s="61"/>
      <c r="C257" s="97"/>
      <c r="D257" s="63"/>
      <c r="E257" s="102"/>
      <c r="F257" s="4"/>
      <c r="G257" s="66"/>
      <c r="H257" s="66"/>
      <c r="I257" s="67"/>
      <c r="J257" s="67"/>
      <c r="K257" s="67"/>
      <c r="L257" s="68"/>
      <c r="M257" s="69"/>
      <c r="N257" s="69"/>
    </row>
    <row r="258" spans="1:14" ht="22.5" customHeight="1">
      <c r="A258" s="70"/>
      <c r="B258" s="70" t="s">
        <v>48</v>
      </c>
      <c r="C258" s="98"/>
      <c r="D258" s="72"/>
      <c r="E258" s="74">
        <f>SUM(E243:E257)</f>
        <v>575924500</v>
      </c>
      <c r="G258" s="73"/>
      <c r="H258" s="73"/>
      <c r="I258" s="73" t="s">
        <v>48</v>
      </c>
      <c r="J258" s="73"/>
      <c r="K258" s="89">
        <f>SUM(K243:K257)</f>
        <v>8060</v>
      </c>
      <c r="L258" s="89">
        <f>SUM(L243:L257)</f>
        <v>104780</v>
      </c>
      <c r="M258" s="89"/>
      <c r="N258" s="74">
        <f>SUM(N243:N257)</f>
        <v>12876500</v>
      </c>
    </row>
    <row r="259" spans="1:14" s="3" customFormat="1">
      <c r="A259" s="5"/>
      <c r="B259" s="5"/>
      <c r="C259" s="99"/>
      <c r="D259" s="7"/>
      <c r="E259" s="103"/>
      <c r="F259" s="5"/>
    </row>
    <row r="260" spans="1:14">
      <c r="D260" s="7" t="s">
        <v>49</v>
      </c>
      <c r="E260" s="103">
        <f>E258/C243</f>
        <v>1832.1705796271553</v>
      </c>
    </row>
    <row r="261" spans="1:14" ht="18" customHeight="1"/>
    <row r="262" spans="1:14" ht="31.5" customHeight="1">
      <c r="A262" s="73" t="s">
        <v>0</v>
      </c>
      <c r="B262" s="160" t="s">
        <v>21</v>
      </c>
      <c r="C262" s="105" t="s">
        <v>50</v>
      </c>
      <c r="D262" s="106" t="s">
        <v>51</v>
      </c>
      <c r="E262" s="106" t="s">
        <v>9</v>
      </c>
      <c r="F262" s="876" t="s">
        <v>117</v>
      </c>
      <c r="G262" s="877"/>
      <c r="H262" s="878"/>
      <c r="I262" s="106" t="s">
        <v>52</v>
      </c>
    </row>
    <row r="263" spans="1:14">
      <c r="A263" s="60">
        <v>1</v>
      </c>
      <c r="B263" s="61" t="s">
        <v>409</v>
      </c>
      <c r="C263" s="97">
        <v>291083</v>
      </c>
      <c r="D263" s="63">
        <v>22620</v>
      </c>
      <c r="E263" s="63">
        <f>C263*D263</f>
        <v>6584297460</v>
      </c>
      <c r="F263" s="873"/>
      <c r="G263" s="874"/>
      <c r="H263" s="875"/>
      <c r="I263" s="63"/>
    </row>
    <row r="264" spans="1:14">
      <c r="A264" s="60">
        <v>2</v>
      </c>
      <c r="B264" s="61" t="s">
        <v>278</v>
      </c>
      <c r="C264" s="97"/>
      <c r="D264" s="63"/>
      <c r="E264" s="63"/>
      <c r="F264" s="873"/>
      <c r="G264" s="874"/>
      <c r="H264" s="875"/>
      <c r="I264" s="63">
        <f>E258</f>
        <v>575924500</v>
      </c>
    </row>
    <row r="265" spans="1:14">
      <c r="A265" s="60">
        <v>3</v>
      </c>
      <c r="B265" s="61" t="s">
        <v>142</v>
      </c>
      <c r="C265" s="97"/>
      <c r="D265" s="63"/>
      <c r="E265" s="63"/>
      <c r="F265" s="873">
        <f>ROUND(I265*0.055%,0)</f>
        <v>577777</v>
      </c>
      <c r="G265" s="874"/>
      <c r="H265" s="875"/>
      <c r="I265" s="63">
        <v>1050504000</v>
      </c>
    </row>
    <row r="266" spans="1:14">
      <c r="A266" s="60">
        <v>4</v>
      </c>
      <c r="B266" s="124" t="s">
        <v>149</v>
      </c>
      <c r="C266" s="63"/>
      <c r="D266" s="63"/>
      <c r="E266" s="63">
        <f t="shared" ref="E266:E267" si="80">C266*D266</f>
        <v>0</v>
      </c>
      <c r="F266" s="873">
        <f>ROUND(I266*0.033%,0)</f>
        <v>158498</v>
      </c>
      <c r="G266" s="874"/>
      <c r="H266" s="875"/>
      <c r="I266" s="63">
        <v>480298000</v>
      </c>
    </row>
    <row r="267" spans="1:14">
      <c r="A267" s="60">
        <v>5</v>
      </c>
      <c r="B267" s="124" t="s">
        <v>279</v>
      </c>
      <c r="C267" s="62"/>
      <c r="D267" s="63"/>
      <c r="E267" s="63">
        <f t="shared" si="80"/>
        <v>0</v>
      </c>
      <c r="F267" s="873">
        <f>ROUND(I267*0.033%,0)</f>
        <v>221450</v>
      </c>
      <c r="G267" s="874"/>
      <c r="H267" s="875"/>
      <c r="I267" s="63">
        <v>671060000</v>
      </c>
    </row>
    <row r="268" spans="1:14">
      <c r="A268" s="60">
        <v>6</v>
      </c>
      <c r="B268" s="124" t="s">
        <v>55</v>
      </c>
      <c r="C268" s="62"/>
      <c r="D268" s="63"/>
      <c r="E268" s="63"/>
      <c r="F268" s="873">
        <f>ROUND(I268*0.033%,0)</f>
        <v>701499</v>
      </c>
      <c r="G268" s="874"/>
      <c r="H268" s="875"/>
      <c r="I268" s="63">
        <v>2125756000</v>
      </c>
    </row>
    <row r="269" spans="1:14">
      <c r="A269" s="60">
        <v>7</v>
      </c>
      <c r="B269" s="124" t="s">
        <v>280</v>
      </c>
      <c r="C269" s="62"/>
      <c r="D269" s="63"/>
      <c r="E269" s="63"/>
      <c r="F269" s="873">
        <f>ROUND(I269*0.033%,0)</f>
        <v>141021</v>
      </c>
      <c r="G269" s="874"/>
      <c r="H269" s="875"/>
      <c r="I269" s="63">
        <v>427336000</v>
      </c>
    </row>
    <row r="270" spans="1:14">
      <c r="A270" s="60">
        <v>8</v>
      </c>
      <c r="B270" s="61" t="s">
        <v>56</v>
      </c>
      <c r="C270" s="62"/>
      <c r="D270" s="63"/>
      <c r="E270" s="63">
        <f>C270*D270</f>
        <v>0</v>
      </c>
      <c r="F270" s="873">
        <f>ROUND(I270*0.033%,0)</f>
        <v>412914</v>
      </c>
      <c r="G270" s="874"/>
      <c r="H270" s="875"/>
      <c r="I270" s="63">
        <v>1251254000</v>
      </c>
    </row>
    <row r="271" spans="1:14" ht="6" customHeight="1">
      <c r="A271" s="60"/>
      <c r="B271" s="115"/>
      <c r="C271" s="116"/>
      <c r="D271" s="113"/>
      <c r="E271" s="113"/>
      <c r="F271" s="880"/>
      <c r="G271" s="881"/>
      <c r="H271" s="882"/>
      <c r="I271" s="113"/>
    </row>
    <row r="272" spans="1:14">
      <c r="A272" s="70"/>
      <c r="B272" s="70" t="s">
        <v>57</v>
      </c>
      <c r="C272" s="71"/>
      <c r="D272" s="72"/>
      <c r="E272" s="72">
        <f>SUM(E263:E271)</f>
        <v>6584297460</v>
      </c>
      <c r="F272" s="870">
        <f>SUM(F263:H271)</f>
        <v>2213159</v>
      </c>
      <c r="G272" s="871"/>
      <c r="H272" s="872"/>
      <c r="I272" s="72">
        <f>SUM(I263:I271)</f>
        <v>6582132500</v>
      </c>
    </row>
    <row r="273" spans="1:11">
      <c r="A273" s="109"/>
      <c r="B273" s="109"/>
      <c r="C273" s="110"/>
      <c r="D273" s="111"/>
      <c r="E273" s="111"/>
      <c r="F273" s="159"/>
      <c r="G273" s="159"/>
      <c r="H273" s="159"/>
      <c r="I273" s="111"/>
    </row>
    <row r="274" spans="1:11" ht="31.5" customHeight="1">
      <c r="A274" s="73" t="s">
        <v>0</v>
      </c>
      <c r="B274" s="161" t="s">
        <v>21</v>
      </c>
      <c r="C274" s="105" t="s">
        <v>50</v>
      </c>
      <c r="D274" s="106" t="s">
        <v>51</v>
      </c>
      <c r="E274" s="106" t="s">
        <v>9</v>
      </c>
      <c r="F274" s="876" t="s">
        <v>117</v>
      </c>
      <c r="G274" s="877"/>
      <c r="H274" s="878"/>
      <c r="I274" s="106" t="s">
        <v>52</v>
      </c>
    </row>
    <row r="275" spans="1:11">
      <c r="A275" s="60">
        <v>1</v>
      </c>
      <c r="B275" s="61" t="s">
        <v>289</v>
      </c>
      <c r="C275" s="97">
        <v>281723</v>
      </c>
      <c r="D275" s="63">
        <v>22650</v>
      </c>
      <c r="E275" s="63">
        <f>C275*D275</f>
        <v>6381025950</v>
      </c>
      <c r="F275" s="873"/>
      <c r="G275" s="874"/>
      <c r="H275" s="875"/>
      <c r="I275" s="63"/>
    </row>
    <row r="276" spans="1:11">
      <c r="A276" s="60">
        <v>2</v>
      </c>
      <c r="B276" s="61" t="s">
        <v>142</v>
      </c>
      <c r="C276" s="97"/>
      <c r="D276" s="63"/>
      <c r="E276" s="63"/>
      <c r="F276" s="873">
        <f>ROUND(I276*0.055%,0)</f>
        <v>812812</v>
      </c>
      <c r="G276" s="874"/>
      <c r="H276" s="875"/>
      <c r="I276" s="63">
        <v>1477840000</v>
      </c>
    </row>
    <row r="277" spans="1:11">
      <c r="A277" s="60">
        <v>3</v>
      </c>
      <c r="B277" s="124" t="s">
        <v>152</v>
      </c>
      <c r="C277" s="63"/>
      <c r="D277" s="63"/>
      <c r="E277" s="63">
        <f t="shared" ref="E277:E278" si="81">C277*D277</f>
        <v>0</v>
      </c>
      <c r="F277" s="873">
        <f>ROUND(I277*0.055%,0)</f>
        <v>482346</v>
      </c>
      <c r="G277" s="874"/>
      <c r="H277" s="875"/>
      <c r="I277" s="63">
        <v>876993000</v>
      </c>
    </row>
    <row r="278" spans="1:11">
      <c r="A278" s="60">
        <v>4</v>
      </c>
      <c r="B278" s="124" t="s">
        <v>131</v>
      </c>
      <c r="C278" s="62"/>
      <c r="D278" s="63"/>
      <c r="E278" s="63">
        <f t="shared" si="81"/>
        <v>0</v>
      </c>
      <c r="F278" s="873">
        <f>ROUND(I278*0.033%,0)</f>
        <v>984083</v>
      </c>
      <c r="G278" s="874"/>
      <c r="H278" s="875"/>
      <c r="I278" s="63">
        <v>2982070000</v>
      </c>
    </row>
    <row r="279" spans="1:11">
      <c r="A279" s="60">
        <v>5</v>
      </c>
      <c r="B279" s="61" t="s">
        <v>56</v>
      </c>
      <c r="C279" s="62"/>
      <c r="D279" s="63"/>
      <c r="E279" s="63">
        <f>C279*D279</f>
        <v>0</v>
      </c>
      <c r="F279" s="873">
        <f>ROUND(I279*0.033%,0)</f>
        <v>343695</v>
      </c>
      <c r="G279" s="874"/>
      <c r="H279" s="875"/>
      <c r="I279" s="63">
        <v>1041500000</v>
      </c>
    </row>
    <row r="280" spans="1:11" ht="6" customHeight="1">
      <c r="A280" s="60"/>
      <c r="B280" s="115"/>
      <c r="C280" s="116"/>
      <c r="D280" s="113"/>
      <c r="E280" s="113"/>
      <c r="F280" s="880"/>
      <c r="G280" s="881"/>
      <c r="H280" s="882"/>
      <c r="I280" s="113"/>
    </row>
    <row r="281" spans="1:11">
      <c r="A281" s="70"/>
      <c r="B281" s="70" t="s">
        <v>57</v>
      </c>
      <c r="C281" s="71"/>
      <c r="D281" s="72"/>
      <c r="E281" s="72">
        <f>SUM(E275:E280)</f>
        <v>6381025950</v>
      </c>
      <c r="F281" s="870">
        <f>SUM(F275:H280)</f>
        <v>2622936</v>
      </c>
      <c r="G281" s="871"/>
      <c r="H281" s="872"/>
      <c r="I281" s="72">
        <f>SUM(I275:I280)</f>
        <v>6378403000</v>
      </c>
    </row>
    <row r="282" spans="1:11">
      <c r="A282" s="162" t="s">
        <v>303</v>
      </c>
      <c r="K282" s="122"/>
    </row>
    <row r="283" spans="1:11">
      <c r="K283" s="122"/>
    </row>
    <row r="284" spans="1:11">
      <c r="K284" s="122"/>
    </row>
    <row r="285" spans="1:11">
      <c r="K285" s="122"/>
    </row>
    <row r="286" spans="1:11">
      <c r="K286" s="122"/>
    </row>
    <row r="288" spans="1:11" ht="41.25" customHeight="1">
      <c r="A288" s="879" t="s">
        <v>316</v>
      </c>
      <c r="B288" s="879"/>
      <c r="C288" s="879"/>
      <c r="D288" s="879"/>
      <c r="E288" s="879"/>
      <c r="F288" s="87"/>
      <c r="G288" s="2"/>
      <c r="H288" s="2"/>
    </row>
    <row r="289" spans="1:15" s="25" customFormat="1" ht="17.25" customHeight="1">
      <c r="B289" s="40"/>
      <c r="C289" s="94"/>
      <c r="D289" s="86"/>
      <c r="E289" s="100"/>
      <c r="F289" s="44"/>
      <c r="G289" s="45" t="s">
        <v>29</v>
      </c>
      <c r="I289" s="91"/>
    </row>
    <row r="290" spans="1:15" s="85" customFormat="1" ht="36.75" customHeight="1">
      <c r="A290" s="83" t="s">
        <v>0</v>
      </c>
      <c r="B290" s="83" t="s">
        <v>21</v>
      </c>
      <c r="C290" s="95" t="s">
        <v>7</v>
      </c>
      <c r="D290" s="84" t="s">
        <v>8</v>
      </c>
      <c r="E290" s="49" t="s">
        <v>9</v>
      </c>
      <c r="G290" s="47" t="s">
        <v>30</v>
      </c>
      <c r="H290" s="47" t="s">
        <v>31</v>
      </c>
      <c r="I290" s="47" t="s">
        <v>103</v>
      </c>
      <c r="J290" s="47" t="s">
        <v>32</v>
      </c>
      <c r="K290" s="47" t="s">
        <v>83</v>
      </c>
      <c r="L290" s="46" t="s">
        <v>33</v>
      </c>
      <c r="M290" s="49" t="s">
        <v>106</v>
      </c>
      <c r="N290" s="49" t="s">
        <v>9</v>
      </c>
    </row>
    <row r="291" spans="1:15" ht="18.75" customHeight="1">
      <c r="A291" s="60">
        <f>ROW()-290</f>
        <v>1</v>
      </c>
      <c r="B291" s="51" t="s">
        <v>35</v>
      </c>
      <c r="C291" s="96">
        <v>317436</v>
      </c>
      <c r="D291" s="53">
        <v>300</v>
      </c>
      <c r="E291" s="101">
        <f t="shared" ref="E291:E294" si="82">C291*D291</f>
        <v>95230800</v>
      </c>
      <c r="G291" s="64">
        <v>42726</v>
      </c>
      <c r="H291" s="64">
        <v>42726</v>
      </c>
      <c r="I291" s="56" t="s">
        <v>318</v>
      </c>
      <c r="J291" s="56"/>
      <c r="K291" s="56">
        <v>2020</v>
      </c>
      <c r="L291" s="88">
        <f t="shared" ref="L291" si="83">K291*13</f>
        <v>26260</v>
      </c>
      <c r="M291" s="58"/>
      <c r="N291" s="58" t="str">
        <f t="shared" ref="N291:N293" si="84">IF(J291&lt;&gt;"",M291*L291*J291/1000,"")</f>
        <v/>
      </c>
      <c r="O291" s="59"/>
    </row>
    <row r="292" spans="1:15" ht="18.75" customHeight="1">
      <c r="A292" s="60">
        <f t="shared" ref="A292:A301" si="85">ROW()-290</f>
        <v>2</v>
      </c>
      <c r="B292" s="61" t="s">
        <v>37</v>
      </c>
      <c r="C292" s="97">
        <v>12</v>
      </c>
      <c r="D292" s="63">
        <v>2000000</v>
      </c>
      <c r="E292" s="102">
        <f t="shared" si="82"/>
        <v>24000000</v>
      </c>
      <c r="G292" s="64">
        <v>42726</v>
      </c>
      <c r="H292" s="64">
        <v>42726</v>
      </c>
      <c r="I292" s="56" t="s">
        <v>319</v>
      </c>
      <c r="J292" s="56"/>
      <c r="K292" s="56">
        <v>2030</v>
      </c>
      <c r="L292" s="88">
        <f t="shared" ref="L292:L293" si="86">K292*13</f>
        <v>26390</v>
      </c>
      <c r="M292" s="58"/>
      <c r="N292" s="58" t="str">
        <f t="shared" si="84"/>
        <v/>
      </c>
      <c r="O292" s="59"/>
    </row>
    <row r="293" spans="1:15" ht="18.75" customHeight="1">
      <c r="A293" s="60">
        <f t="shared" si="85"/>
        <v>3</v>
      </c>
      <c r="B293" s="61" t="s">
        <v>38</v>
      </c>
      <c r="C293" s="97">
        <v>12</v>
      </c>
      <c r="D293" s="63">
        <v>2000000</v>
      </c>
      <c r="E293" s="102">
        <f t="shared" si="82"/>
        <v>24000000</v>
      </c>
      <c r="G293" s="64">
        <v>42726</v>
      </c>
      <c r="H293" s="64">
        <v>42726</v>
      </c>
      <c r="I293" s="56" t="s">
        <v>320</v>
      </c>
      <c r="J293" s="56"/>
      <c r="K293" s="56">
        <v>2040</v>
      </c>
      <c r="L293" s="88">
        <f t="shared" si="86"/>
        <v>26520</v>
      </c>
      <c r="M293" s="58"/>
      <c r="N293" s="58" t="str">
        <f t="shared" si="84"/>
        <v/>
      </c>
      <c r="O293" s="59"/>
    </row>
    <row r="294" spans="1:15" ht="18.75" customHeight="1">
      <c r="A294" s="60">
        <f t="shared" si="85"/>
        <v>4</v>
      </c>
      <c r="B294" s="61" t="s">
        <v>39</v>
      </c>
      <c r="C294" s="97">
        <v>12</v>
      </c>
      <c r="D294" s="63">
        <v>600000</v>
      </c>
      <c r="E294" s="102">
        <f t="shared" si="82"/>
        <v>7200000</v>
      </c>
      <c r="G294" s="64">
        <v>42718</v>
      </c>
      <c r="H294" s="64">
        <v>42726</v>
      </c>
      <c r="I294" s="56" t="s">
        <v>283</v>
      </c>
      <c r="J294" s="56">
        <f t="shared" ref="J294:J302" si="87">IF(H294&lt;&gt;"",H294-G294+1,"")</f>
        <v>9</v>
      </c>
      <c r="K294" s="56">
        <v>24</v>
      </c>
      <c r="L294" s="88">
        <f t="shared" ref="L294:L310" si="88">K294*13</f>
        <v>312</v>
      </c>
      <c r="M294" s="58">
        <v>20000</v>
      </c>
      <c r="N294" s="58">
        <f t="shared" ref="N294:N310" si="89">IF(J294&lt;&gt;"",M294*L294*J294/1000,"")</f>
        <v>56160</v>
      </c>
      <c r="O294" s="59"/>
    </row>
    <row r="295" spans="1:15" ht="18.75" customHeight="1">
      <c r="A295" s="60">
        <f t="shared" si="85"/>
        <v>5</v>
      </c>
      <c r="B295" s="61" t="s">
        <v>75</v>
      </c>
      <c r="C295" s="97">
        <v>12</v>
      </c>
      <c r="D295" s="63">
        <v>16725000</v>
      </c>
      <c r="E295" s="102">
        <f>C295*D295</f>
        <v>200700000</v>
      </c>
      <c r="G295" s="64">
        <v>42719</v>
      </c>
      <c r="H295" s="64">
        <v>42726</v>
      </c>
      <c r="I295" s="56" t="s">
        <v>86</v>
      </c>
      <c r="J295" s="56">
        <f t="shared" si="87"/>
        <v>8</v>
      </c>
      <c r="K295" s="56">
        <v>520</v>
      </c>
      <c r="L295" s="88">
        <f t="shared" si="88"/>
        <v>6760</v>
      </c>
      <c r="M295" s="58">
        <v>20000</v>
      </c>
      <c r="N295" s="58">
        <f t="shared" si="89"/>
        <v>1081600</v>
      </c>
      <c r="O295" s="59"/>
    </row>
    <row r="296" spans="1:15" ht="18.75" customHeight="1">
      <c r="A296" s="60">
        <f t="shared" si="85"/>
        <v>6</v>
      </c>
      <c r="B296" s="61" t="s">
        <v>41</v>
      </c>
      <c r="C296" s="97">
        <v>12</v>
      </c>
      <c r="D296" s="63">
        <v>9358000</v>
      </c>
      <c r="E296" s="102">
        <f t="shared" ref="E296:E297" si="90">C296*D296</f>
        <v>112296000</v>
      </c>
      <c r="G296" s="64">
        <v>42719</v>
      </c>
      <c r="H296" s="64">
        <v>42726</v>
      </c>
      <c r="I296" s="56" t="s">
        <v>285</v>
      </c>
      <c r="J296" s="56">
        <f t="shared" si="87"/>
        <v>8</v>
      </c>
      <c r="K296" s="56">
        <v>405</v>
      </c>
      <c r="L296" s="88">
        <f t="shared" si="88"/>
        <v>5265</v>
      </c>
      <c r="M296" s="58">
        <v>20000</v>
      </c>
      <c r="N296" s="58">
        <f t="shared" si="89"/>
        <v>842400</v>
      </c>
      <c r="O296" s="59"/>
    </row>
    <row r="297" spans="1:15" ht="18.75" customHeight="1">
      <c r="A297" s="60">
        <f t="shared" si="85"/>
        <v>7</v>
      </c>
      <c r="B297" s="61" t="s">
        <v>42</v>
      </c>
      <c r="C297" s="97">
        <v>12</v>
      </c>
      <c r="D297" s="63">
        <v>5600000</v>
      </c>
      <c r="E297" s="102">
        <f t="shared" si="90"/>
        <v>67200000</v>
      </c>
      <c r="G297" s="64">
        <v>42719</v>
      </c>
      <c r="H297" s="64">
        <v>42726</v>
      </c>
      <c r="I297" s="56" t="s">
        <v>286</v>
      </c>
      <c r="J297" s="56">
        <f t="shared" si="87"/>
        <v>8</v>
      </c>
      <c r="K297" s="56">
        <v>900</v>
      </c>
      <c r="L297" s="88">
        <f t="shared" si="88"/>
        <v>11700</v>
      </c>
      <c r="M297" s="58">
        <v>20000</v>
      </c>
      <c r="N297" s="58">
        <f t="shared" si="89"/>
        <v>1872000</v>
      </c>
      <c r="O297" s="59"/>
    </row>
    <row r="298" spans="1:15" ht="18.75" customHeight="1">
      <c r="A298" s="60">
        <f t="shared" si="85"/>
        <v>8</v>
      </c>
      <c r="B298" s="61" t="s">
        <v>44</v>
      </c>
      <c r="C298" s="97">
        <v>6</v>
      </c>
      <c r="D298" s="63">
        <v>1350000</v>
      </c>
      <c r="E298" s="102">
        <f>C298*D298</f>
        <v>8100000</v>
      </c>
      <c r="G298" s="64">
        <v>42719</v>
      </c>
      <c r="H298" s="64">
        <v>42726</v>
      </c>
      <c r="I298" s="56" t="s">
        <v>287</v>
      </c>
      <c r="J298" s="56">
        <f t="shared" si="87"/>
        <v>8</v>
      </c>
      <c r="K298" s="56">
        <f>445-260-4</f>
        <v>181</v>
      </c>
      <c r="L298" s="88">
        <f t="shared" si="88"/>
        <v>2353</v>
      </c>
      <c r="M298" s="58">
        <v>20000</v>
      </c>
      <c r="N298" s="58">
        <f t="shared" si="89"/>
        <v>376480</v>
      </c>
      <c r="O298" s="59"/>
    </row>
    <row r="299" spans="1:15" ht="18.75" customHeight="1">
      <c r="A299" s="60">
        <f t="shared" si="85"/>
        <v>9</v>
      </c>
      <c r="B299" s="61" t="s">
        <v>79</v>
      </c>
      <c r="C299" s="97">
        <v>12</v>
      </c>
      <c r="D299" s="63">
        <v>2500000</v>
      </c>
      <c r="E299" s="102">
        <f t="shared" ref="E299" si="91">C299*D299</f>
        <v>30000000</v>
      </c>
      <c r="G299" s="64">
        <v>42719</v>
      </c>
      <c r="H299" s="64">
        <v>42727</v>
      </c>
      <c r="I299" s="56" t="s">
        <v>287</v>
      </c>
      <c r="J299" s="56">
        <f t="shared" si="87"/>
        <v>9</v>
      </c>
      <c r="K299" s="56">
        <v>264</v>
      </c>
      <c r="L299" s="88">
        <f t="shared" si="88"/>
        <v>3432</v>
      </c>
      <c r="M299" s="58">
        <v>20000</v>
      </c>
      <c r="N299" s="58">
        <f t="shared" si="89"/>
        <v>617760</v>
      </c>
      <c r="O299" s="59"/>
    </row>
    <row r="300" spans="1:15" ht="18.75" customHeight="1">
      <c r="A300" s="60">
        <f t="shared" si="85"/>
        <v>10</v>
      </c>
      <c r="B300" s="61" t="s">
        <v>45</v>
      </c>
      <c r="C300" s="97">
        <v>185</v>
      </c>
      <c r="D300" s="63">
        <v>50000</v>
      </c>
      <c r="E300" s="102">
        <f>C300*D300</f>
        <v>9250000</v>
      </c>
      <c r="G300" s="64">
        <v>42720</v>
      </c>
      <c r="H300" s="64">
        <v>42727</v>
      </c>
      <c r="I300" s="56" t="s">
        <v>288</v>
      </c>
      <c r="J300" s="56">
        <f t="shared" si="87"/>
        <v>8</v>
      </c>
      <c r="K300" s="56">
        <v>950</v>
      </c>
      <c r="L300" s="88">
        <f t="shared" si="88"/>
        <v>12350</v>
      </c>
      <c r="M300" s="58">
        <v>20000</v>
      </c>
      <c r="N300" s="58">
        <f t="shared" si="89"/>
        <v>1976000</v>
      </c>
      <c r="O300" s="59"/>
    </row>
    <row r="301" spans="1:15" ht="18.75" customHeight="1">
      <c r="A301" s="60">
        <f t="shared" si="85"/>
        <v>11</v>
      </c>
      <c r="B301" s="61" t="s">
        <v>46</v>
      </c>
      <c r="C301" s="97"/>
      <c r="D301" s="63"/>
      <c r="E301" s="102">
        <f>N313</f>
        <v>18794125.206999999</v>
      </c>
      <c r="G301" s="64">
        <v>42720</v>
      </c>
      <c r="H301" s="64">
        <v>42727</v>
      </c>
      <c r="I301" s="56" t="s">
        <v>101</v>
      </c>
      <c r="J301" s="56">
        <f t="shared" si="87"/>
        <v>8</v>
      </c>
      <c r="K301" s="56">
        <v>425</v>
      </c>
      <c r="L301" s="88">
        <f t="shared" si="88"/>
        <v>5525</v>
      </c>
      <c r="M301" s="58">
        <v>20000</v>
      </c>
      <c r="N301" s="58">
        <f t="shared" si="89"/>
        <v>884000</v>
      </c>
      <c r="O301" s="59"/>
    </row>
    <row r="302" spans="1:15" ht="19.5" customHeight="1">
      <c r="A302" s="60"/>
      <c r="B302" s="61"/>
      <c r="C302" s="97"/>
      <c r="D302" s="63"/>
      <c r="E302" s="102"/>
      <c r="G302" s="64">
        <v>42720</v>
      </c>
      <c r="H302" s="64">
        <v>42727</v>
      </c>
      <c r="I302" s="56" t="s">
        <v>98</v>
      </c>
      <c r="J302" s="56">
        <f t="shared" si="87"/>
        <v>8</v>
      </c>
      <c r="K302" s="56">
        <f>422-31</f>
        <v>391</v>
      </c>
      <c r="L302" s="88">
        <f t="shared" si="88"/>
        <v>5083</v>
      </c>
      <c r="M302" s="58">
        <v>20000</v>
      </c>
      <c r="N302" s="58">
        <f t="shared" si="89"/>
        <v>813280</v>
      </c>
      <c r="O302" s="59"/>
    </row>
    <row r="303" spans="1:15" ht="19.5" customHeight="1">
      <c r="A303" s="60"/>
      <c r="B303" s="61"/>
      <c r="C303" s="97"/>
      <c r="D303" s="63"/>
      <c r="E303" s="102"/>
      <c r="G303" s="64">
        <v>42720</v>
      </c>
      <c r="H303" s="64">
        <v>42730</v>
      </c>
      <c r="I303" s="56" t="s">
        <v>98</v>
      </c>
      <c r="J303" s="56">
        <f t="shared" ref="J303:J311" si="92">IF(H303&lt;&gt;"",H303-G303+1,"")</f>
        <v>11</v>
      </c>
      <c r="K303" s="56">
        <v>31</v>
      </c>
      <c r="L303" s="88">
        <f t="shared" si="88"/>
        <v>403</v>
      </c>
      <c r="M303" s="58">
        <v>20000</v>
      </c>
      <c r="N303" s="58">
        <f t="shared" si="89"/>
        <v>88660</v>
      </c>
      <c r="O303" s="59"/>
    </row>
    <row r="304" spans="1:15" ht="19.5" customHeight="1">
      <c r="A304" s="60"/>
      <c r="B304" s="61"/>
      <c r="C304" s="97"/>
      <c r="D304" s="63"/>
      <c r="E304" s="102"/>
      <c r="G304" s="64">
        <v>42720</v>
      </c>
      <c r="H304" s="64">
        <v>42730</v>
      </c>
      <c r="I304" s="56" t="s">
        <v>283</v>
      </c>
      <c r="J304" s="56">
        <f t="shared" si="92"/>
        <v>11</v>
      </c>
      <c r="K304" s="56">
        <v>900</v>
      </c>
      <c r="L304" s="88">
        <f t="shared" si="88"/>
        <v>11700</v>
      </c>
      <c r="M304" s="58">
        <v>20000</v>
      </c>
      <c r="N304" s="58">
        <f t="shared" si="89"/>
        <v>2574000</v>
      </c>
      <c r="O304" s="59"/>
    </row>
    <row r="305" spans="1:15" ht="19.5" customHeight="1">
      <c r="A305" s="60"/>
      <c r="B305" s="61"/>
      <c r="C305" s="97"/>
      <c r="D305" s="63"/>
      <c r="E305" s="102"/>
      <c r="G305" s="64">
        <v>42720</v>
      </c>
      <c r="H305" s="64">
        <v>42730</v>
      </c>
      <c r="I305" s="56" t="s">
        <v>88</v>
      </c>
      <c r="J305" s="56">
        <f t="shared" si="92"/>
        <v>11</v>
      </c>
      <c r="K305" s="56">
        <v>375</v>
      </c>
      <c r="L305" s="88">
        <f t="shared" si="88"/>
        <v>4875</v>
      </c>
      <c r="M305" s="58">
        <v>20000</v>
      </c>
      <c r="N305" s="58">
        <f t="shared" si="89"/>
        <v>1072500</v>
      </c>
      <c r="O305" s="59"/>
    </row>
    <row r="306" spans="1:15" ht="19.5" customHeight="1">
      <c r="A306" s="60"/>
      <c r="B306" s="61"/>
      <c r="C306" s="97"/>
      <c r="D306" s="63"/>
      <c r="E306" s="102"/>
      <c r="G306" s="64">
        <v>42720</v>
      </c>
      <c r="H306" s="64">
        <v>42730</v>
      </c>
      <c r="I306" s="56" t="s">
        <v>125</v>
      </c>
      <c r="J306" s="56">
        <f t="shared" si="92"/>
        <v>11</v>
      </c>
      <c r="K306" s="56">
        <v>500</v>
      </c>
      <c r="L306" s="88">
        <f t="shared" si="88"/>
        <v>6500</v>
      </c>
      <c r="M306" s="58">
        <v>20000</v>
      </c>
      <c r="N306" s="58">
        <f t="shared" si="89"/>
        <v>1430000</v>
      </c>
      <c r="O306" s="59"/>
    </row>
    <row r="307" spans="1:15" ht="19.5" customHeight="1">
      <c r="A307" s="60"/>
      <c r="B307" s="61"/>
      <c r="C307" s="97"/>
      <c r="D307" s="63"/>
      <c r="E307" s="102"/>
      <c r="G307" s="64">
        <v>42720</v>
      </c>
      <c r="H307" s="64">
        <v>42730</v>
      </c>
      <c r="I307" s="56" t="s">
        <v>126</v>
      </c>
      <c r="J307" s="56">
        <f t="shared" si="92"/>
        <v>11</v>
      </c>
      <c r="K307" s="56">
        <f>632-404</f>
        <v>228</v>
      </c>
      <c r="L307" s="88">
        <f t="shared" si="88"/>
        <v>2964</v>
      </c>
      <c r="M307" s="58">
        <v>20000</v>
      </c>
      <c r="N307" s="58">
        <f t="shared" si="89"/>
        <v>652080</v>
      </c>
      <c r="O307" s="59"/>
    </row>
    <row r="308" spans="1:15" ht="19.5" customHeight="1">
      <c r="A308" s="60"/>
      <c r="B308" s="61"/>
      <c r="C308" s="97"/>
      <c r="D308" s="63"/>
      <c r="E308" s="102"/>
      <c r="G308" s="64">
        <v>42720</v>
      </c>
      <c r="H308" s="64">
        <v>42730</v>
      </c>
      <c r="I308" s="56" t="s">
        <v>126</v>
      </c>
      <c r="J308" s="56">
        <f t="shared" si="92"/>
        <v>11</v>
      </c>
      <c r="K308" s="56">
        <v>404</v>
      </c>
      <c r="L308" s="88">
        <f t="shared" si="88"/>
        <v>5252</v>
      </c>
      <c r="M308" s="58">
        <v>20000</v>
      </c>
      <c r="N308" s="58">
        <f t="shared" si="89"/>
        <v>1155440</v>
      </c>
      <c r="O308" s="59"/>
    </row>
    <row r="309" spans="1:15" ht="19.5" customHeight="1">
      <c r="A309" s="60"/>
      <c r="B309" s="61"/>
      <c r="C309" s="97"/>
      <c r="D309" s="63"/>
      <c r="E309" s="102"/>
      <c r="G309" s="64">
        <v>42723</v>
      </c>
      <c r="H309" s="64">
        <v>42730</v>
      </c>
      <c r="I309" s="56" t="s">
        <v>85</v>
      </c>
      <c r="J309" s="56">
        <f t="shared" si="92"/>
        <v>8</v>
      </c>
      <c r="K309" s="56">
        <v>445</v>
      </c>
      <c r="L309" s="88">
        <f t="shared" si="88"/>
        <v>5785</v>
      </c>
      <c r="M309" s="58">
        <v>20000</v>
      </c>
      <c r="N309" s="58">
        <f t="shared" si="89"/>
        <v>925600</v>
      </c>
      <c r="O309" s="59"/>
    </row>
    <row r="310" spans="1:15" ht="19.5" customHeight="1">
      <c r="A310" s="60"/>
      <c r="B310" s="61"/>
      <c r="C310" s="97"/>
      <c r="D310" s="63"/>
      <c r="E310" s="102"/>
      <c r="G310" s="64">
        <v>42723</v>
      </c>
      <c r="H310" s="64">
        <v>42730</v>
      </c>
      <c r="I310" s="56" t="s">
        <v>315</v>
      </c>
      <c r="J310" s="56">
        <f t="shared" si="92"/>
        <v>8</v>
      </c>
      <c r="K310" s="56">
        <v>900</v>
      </c>
      <c r="L310" s="88">
        <f t="shared" si="88"/>
        <v>11700</v>
      </c>
      <c r="M310" s="58">
        <v>20000</v>
      </c>
      <c r="N310" s="58">
        <f t="shared" si="89"/>
        <v>1872000</v>
      </c>
      <c r="O310" s="59"/>
    </row>
    <row r="311" spans="1:15" ht="19.5" customHeight="1">
      <c r="A311" s="60"/>
      <c r="B311" s="61"/>
      <c r="C311" s="97"/>
      <c r="D311" s="63"/>
      <c r="E311" s="102"/>
      <c r="G311" s="64">
        <v>42724</v>
      </c>
      <c r="H311" s="64">
        <v>42730</v>
      </c>
      <c r="I311" s="56" t="s">
        <v>95</v>
      </c>
      <c r="J311" s="56">
        <f t="shared" si="92"/>
        <v>7</v>
      </c>
      <c r="K311" s="56">
        <f>672-395</f>
        <v>277</v>
      </c>
      <c r="L311" s="88">
        <f t="shared" ref="L311" si="93">K311*13</f>
        <v>3601</v>
      </c>
      <c r="M311" s="58">
        <v>20001</v>
      </c>
      <c r="N311" s="58">
        <f t="shared" ref="N311" si="94">IF(J311&lt;&gt;"",M311*L311*J311/1000,"")</f>
        <v>504165.20699999999</v>
      </c>
      <c r="O311" s="59"/>
    </row>
    <row r="312" spans="1:15" ht="18" customHeight="1">
      <c r="A312" s="60"/>
      <c r="B312" s="61"/>
      <c r="C312" s="97"/>
      <c r="D312" s="63"/>
      <c r="E312" s="102"/>
      <c r="G312" s="66"/>
      <c r="H312" s="66"/>
      <c r="I312" s="67"/>
      <c r="J312" s="67"/>
      <c r="K312" s="67"/>
      <c r="L312" s="68"/>
      <c r="M312" s="69"/>
      <c r="N312" s="69"/>
    </row>
    <row r="313" spans="1:15" s="3" customFormat="1" ht="18" customHeight="1">
      <c r="A313" s="70"/>
      <c r="B313" s="70" t="s">
        <v>48</v>
      </c>
      <c r="C313" s="98"/>
      <c r="D313" s="72"/>
      <c r="E313" s="74">
        <f>SUM(E291:E312)</f>
        <v>596770925.20700002</v>
      </c>
      <c r="F313" s="5"/>
      <c r="G313" s="73"/>
      <c r="H313" s="73"/>
      <c r="I313" s="73" t="s">
        <v>48</v>
      </c>
      <c r="J313" s="73"/>
      <c r="K313" s="89">
        <f>SUM(K291:K312)</f>
        <v>14210</v>
      </c>
      <c r="L313" s="89">
        <f>SUM(L291:L312)</f>
        <v>184730</v>
      </c>
      <c r="M313" s="89"/>
      <c r="N313" s="74">
        <f>SUM(N291:N312)</f>
        <v>18794125.206999999</v>
      </c>
    </row>
    <row r="315" spans="1:15" ht="9.75" customHeight="1"/>
    <row r="316" spans="1:15" ht="31.5" customHeight="1">
      <c r="A316" s="73" t="s">
        <v>0</v>
      </c>
      <c r="B316" s="163" t="s">
        <v>21</v>
      </c>
      <c r="C316" s="105" t="s">
        <v>50</v>
      </c>
      <c r="D316" s="106" t="s">
        <v>51</v>
      </c>
      <c r="E316" s="106" t="s">
        <v>9</v>
      </c>
      <c r="F316" s="876" t="s">
        <v>117</v>
      </c>
      <c r="G316" s="877"/>
      <c r="H316" s="878"/>
      <c r="I316" s="106" t="s">
        <v>52</v>
      </c>
    </row>
    <row r="317" spans="1:15">
      <c r="A317" s="60">
        <v>1</v>
      </c>
      <c r="B317" s="61" t="s">
        <v>323</v>
      </c>
      <c r="C317" s="97">
        <v>282365</v>
      </c>
      <c r="D317" s="63">
        <v>22650</v>
      </c>
      <c r="E317" s="63">
        <f>C317*D317</f>
        <v>6395567250</v>
      </c>
      <c r="F317" s="893"/>
      <c r="G317" s="894"/>
      <c r="H317" s="895"/>
      <c r="I317" s="63"/>
    </row>
    <row r="318" spans="1:15">
      <c r="A318" s="60">
        <v>2</v>
      </c>
      <c r="B318" s="61" t="s">
        <v>324</v>
      </c>
      <c r="C318" s="97"/>
      <c r="D318" s="63"/>
      <c r="E318" s="63"/>
      <c r="F318" s="888"/>
      <c r="G318" s="889"/>
      <c r="H318" s="890"/>
      <c r="I318" s="63">
        <f>E313</f>
        <v>596770925.20700002</v>
      </c>
    </row>
    <row r="319" spans="1:15">
      <c r="A319" s="60">
        <v>3</v>
      </c>
      <c r="B319" s="61" t="s">
        <v>142</v>
      </c>
      <c r="C319" s="97"/>
      <c r="D319" s="63"/>
      <c r="E319" s="63"/>
      <c r="F319" s="873">
        <f>ROUND(I319*0.055%,0)</f>
        <v>120120</v>
      </c>
      <c r="G319" s="874"/>
      <c r="H319" s="875"/>
      <c r="I319" s="63">
        <v>218400000</v>
      </c>
    </row>
    <row r="320" spans="1:15">
      <c r="A320" s="60">
        <v>4</v>
      </c>
      <c r="B320" s="124" t="s">
        <v>325</v>
      </c>
      <c r="C320" s="63"/>
      <c r="D320" s="63"/>
      <c r="E320" s="63">
        <f t="shared" ref="E320:E321" si="95">C320*D320</f>
        <v>0</v>
      </c>
      <c r="F320" s="873">
        <f>ROUND(I320*0.055%,0)</f>
        <v>15246</v>
      </c>
      <c r="G320" s="874"/>
      <c r="H320" s="875"/>
      <c r="I320" s="63">
        <v>27720000</v>
      </c>
    </row>
    <row r="321" spans="1:15">
      <c r="A321" s="60">
        <v>5</v>
      </c>
      <c r="B321" s="124" t="s">
        <v>131</v>
      </c>
      <c r="C321" s="62"/>
      <c r="D321" s="63"/>
      <c r="E321" s="63">
        <f t="shared" si="95"/>
        <v>0</v>
      </c>
      <c r="F321" s="873">
        <f>ROUND(I321*0.055%,0)</f>
        <v>647657</v>
      </c>
      <c r="G321" s="874"/>
      <c r="H321" s="875"/>
      <c r="I321" s="63">
        <v>1177559000</v>
      </c>
    </row>
    <row r="322" spans="1:15">
      <c r="A322" s="60">
        <v>6</v>
      </c>
      <c r="B322" s="61" t="s">
        <v>56</v>
      </c>
      <c r="C322" s="62"/>
      <c r="D322" s="63"/>
      <c r="E322" s="63">
        <f>C322*D322</f>
        <v>0</v>
      </c>
      <c r="F322" s="873">
        <f>ROUND(I322*0.055%,0)</f>
        <v>2403113</v>
      </c>
      <c r="G322" s="874"/>
      <c r="H322" s="875"/>
      <c r="I322" s="63">
        <v>4369297000</v>
      </c>
    </row>
    <row r="323" spans="1:15" ht="6" customHeight="1">
      <c r="A323" s="60"/>
      <c r="B323" s="115"/>
      <c r="C323" s="116"/>
      <c r="D323" s="113"/>
      <c r="E323" s="113"/>
      <c r="F323" s="167"/>
      <c r="G323" s="168"/>
      <c r="H323" s="169"/>
      <c r="I323" s="113"/>
    </row>
    <row r="324" spans="1:15">
      <c r="A324" s="70"/>
      <c r="B324" s="70" t="s">
        <v>57</v>
      </c>
      <c r="C324" s="71"/>
      <c r="D324" s="72"/>
      <c r="E324" s="72">
        <f>SUM(E317:E323)</f>
        <v>6395567250</v>
      </c>
      <c r="F324" s="870">
        <f>SUM(F317:H323)</f>
        <v>3186136</v>
      </c>
      <c r="G324" s="871"/>
      <c r="H324" s="872"/>
      <c r="I324" s="72">
        <f>SUM(I317:I323)</f>
        <v>6389746925.2069998</v>
      </c>
    </row>
    <row r="325" spans="1:15">
      <c r="A325" s="162" t="s">
        <v>303</v>
      </c>
    </row>
    <row r="326" spans="1:15">
      <c r="K326" s="122"/>
    </row>
    <row r="327" spans="1:15">
      <c r="H327" s="164"/>
      <c r="I327" s="122"/>
    </row>
    <row r="328" spans="1:15" ht="43.5" customHeight="1">
      <c r="A328" s="879" t="s">
        <v>326</v>
      </c>
      <c r="B328" s="879"/>
      <c r="C328" s="879"/>
      <c r="D328" s="879"/>
      <c r="E328" s="879"/>
      <c r="F328" s="87"/>
    </row>
    <row r="329" spans="1:15" s="25" customFormat="1" ht="17.25" customHeight="1">
      <c r="B329" s="40"/>
      <c r="C329" s="94"/>
      <c r="D329" s="86"/>
      <c r="E329" s="100"/>
      <c r="F329" s="44"/>
      <c r="G329" s="45" t="s">
        <v>29</v>
      </c>
      <c r="I329" s="91"/>
    </row>
    <row r="330" spans="1:15" s="85" customFormat="1" ht="36.75" customHeight="1">
      <c r="A330" s="83" t="s">
        <v>0</v>
      </c>
      <c r="B330" s="83" t="s">
        <v>21</v>
      </c>
      <c r="C330" s="95" t="s">
        <v>7</v>
      </c>
      <c r="D330" s="84" t="s">
        <v>8</v>
      </c>
      <c r="E330" s="49" t="s">
        <v>9</v>
      </c>
      <c r="G330" s="47" t="s">
        <v>30</v>
      </c>
      <c r="H330" s="47" t="s">
        <v>31</v>
      </c>
      <c r="I330" s="47" t="s">
        <v>103</v>
      </c>
      <c r="J330" s="47" t="s">
        <v>32</v>
      </c>
      <c r="K330" s="47" t="s">
        <v>83</v>
      </c>
      <c r="L330" s="46" t="s">
        <v>33</v>
      </c>
      <c r="M330" s="49" t="s">
        <v>106</v>
      </c>
      <c r="N330" s="49" t="s">
        <v>9</v>
      </c>
    </row>
    <row r="331" spans="1:15" ht="18.75" customHeight="1">
      <c r="A331" s="60">
        <f>ROW()-242</f>
        <v>89</v>
      </c>
      <c r="B331" s="51" t="s">
        <v>35</v>
      </c>
      <c r="C331" s="96">
        <v>52780</v>
      </c>
      <c r="D331" s="53">
        <v>300</v>
      </c>
      <c r="E331" s="101">
        <f t="shared" ref="E331:E334" si="96">C331*D331</f>
        <v>15834000</v>
      </c>
      <c r="G331" s="64">
        <v>42724</v>
      </c>
      <c r="H331" s="64">
        <v>42731</v>
      </c>
      <c r="I331" s="56" t="s">
        <v>95</v>
      </c>
      <c r="J331" s="56">
        <f>IF(H331&lt;&gt;"",H331-G331+1,"")</f>
        <v>8</v>
      </c>
      <c r="K331" s="56">
        <v>395</v>
      </c>
      <c r="L331" s="88">
        <f t="shared" ref="L331:L341" si="97">K331*13</f>
        <v>5135</v>
      </c>
      <c r="M331" s="58">
        <v>20000</v>
      </c>
      <c r="N331" s="58">
        <f t="shared" ref="N331:N341" si="98">IF(J331&lt;&gt;"",M331*L331*J331/1000,"")</f>
        <v>821600</v>
      </c>
      <c r="O331" s="59"/>
    </row>
    <row r="332" spans="1:15" ht="18.75" customHeight="1">
      <c r="A332" s="60">
        <f t="shared" ref="A332:A341" si="99">ROW()-242</f>
        <v>90</v>
      </c>
      <c r="B332" s="61" t="s">
        <v>37</v>
      </c>
      <c r="C332" s="97">
        <v>2</v>
      </c>
      <c r="D332" s="63">
        <v>2000000</v>
      </c>
      <c r="E332" s="102">
        <f t="shared" si="96"/>
        <v>4000000</v>
      </c>
      <c r="G332" s="64">
        <v>42724</v>
      </c>
      <c r="H332" s="64">
        <v>42731</v>
      </c>
      <c r="I332" s="56" t="s">
        <v>321</v>
      </c>
      <c r="J332" s="56">
        <f>IF(H332&lt;&gt;"",H332-G332+1,"")</f>
        <v>8</v>
      </c>
      <c r="K332" s="56">
        <v>445</v>
      </c>
      <c r="L332" s="88">
        <f t="shared" si="97"/>
        <v>5785</v>
      </c>
      <c r="M332" s="58">
        <v>20000</v>
      </c>
      <c r="N332" s="58">
        <f t="shared" si="98"/>
        <v>925600</v>
      </c>
      <c r="O332" s="59"/>
    </row>
    <row r="333" spans="1:15" ht="18.75" customHeight="1">
      <c r="A333" s="60">
        <f t="shared" si="99"/>
        <v>91</v>
      </c>
      <c r="B333" s="61" t="s">
        <v>38</v>
      </c>
      <c r="C333" s="97">
        <v>2</v>
      </c>
      <c r="D333" s="63">
        <v>2000000</v>
      </c>
      <c r="E333" s="102">
        <f t="shared" si="96"/>
        <v>4000000</v>
      </c>
      <c r="G333" s="64">
        <v>42725</v>
      </c>
      <c r="H333" s="64">
        <v>42731</v>
      </c>
      <c r="I333" s="56" t="s">
        <v>91</v>
      </c>
      <c r="J333" s="56">
        <f>IF(H333&lt;&gt;"",H333-G333+1,"")</f>
        <v>7</v>
      </c>
      <c r="K333" s="56">
        <v>375</v>
      </c>
      <c r="L333" s="88">
        <f t="shared" si="97"/>
        <v>4875</v>
      </c>
      <c r="M333" s="58">
        <v>20000</v>
      </c>
      <c r="N333" s="58">
        <f t="shared" si="98"/>
        <v>682500</v>
      </c>
      <c r="O333" s="59"/>
    </row>
    <row r="334" spans="1:15" ht="18.75" customHeight="1">
      <c r="A334" s="60">
        <f t="shared" si="99"/>
        <v>92</v>
      </c>
      <c r="B334" s="61" t="s">
        <v>39</v>
      </c>
      <c r="C334" s="97">
        <v>2</v>
      </c>
      <c r="D334" s="63">
        <v>600000</v>
      </c>
      <c r="E334" s="102">
        <f t="shared" si="96"/>
        <v>1200000</v>
      </c>
      <c r="G334" s="64">
        <v>42726</v>
      </c>
      <c r="H334" s="64">
        <v>42731</v>
      </c>
      <c r="I334" s="56" t="s">
        <v>101</v>
      </c>
      <c r="J334" s="56">
        <f>IF(H334&lt;&gt;"",H334-G334+1,"")</f>
        <v>6</v>
      </c>
      <c r="K334" s="56">
        <v>440</v>
      </c>
      <c r="L334" s="88">
        <f t="shared" si="97"/>
        <v>5720</v>
      </c>
      <c r="M334" s="58">
        <v>20000</v>
      </c>
      <c r="N334" s="58">
        <f t="shared" si="98"/>
        <v>686400</v>
      </c>
      <c r="O334" s="59"/>
    </row>
    <row r="335" spans="1:15" ht="18.75" customHeight="1">
      <c r="A335" s="60">
        <f t="shared" si="99"/>
        <v>93</v>
      </c>
      <c r="B335" s="61" t="s">
        <v>75</v>
      </c>
      <c r="C335" s="97">
        <v>2</v>
      </c>
      <c r="D335" s="63">
        <v>16725000</v>
      </c>
      <c r="E335" s="102">
        <f>C335*D335</f>
        <v>33450000</v>
      </c>
      <c r="G335" s="64">
        <v>42726</v>
      </c>
      <c r="H335" s="64">
        <v>42731</v>
      </c>
      <c r="I335" s="56" t="s">
        <v>317</v>
      </c>
      <c r="J335" s="56">
        <f>IF(H335&lt;&gt;"",H335-G335+1,"")</f>
        <v>6</v>
      </c>
      <c r="K335" s="56">
        <f>444-69</f>
        <v>375</v>
      </c>
      <c r="L335" s="88">
        <f t="shared" si="97"/>
        <v>4875</v>
      </c>
      <c r="M335" s="58">
        <v>20000</v>
      </c>
      <c r="N335" s="58">
        <f t="shared" si="98"/>
        <v>585000</v>
      </c>
      <c r="O335" s="59"/>
    </row>
    <row r="336" spans="1:15" ht="18.75" customHeight="1">
      <c r="A336" s="60">
        <f t="shared" si="99"/>
        <v>94</v>
      </c>
      <c r="B336" s="61" t="s">
        <v>41</v>
      </c>
      <c r="C336" s="97">
        <v>2</v>
      </c>
      <c r="D336" s="63">
        <v>9358000</v>
      </c>
      <c r="E336" s="102">
        <f t="shared" ref="E336:E337" si="100">C336*D336</f>
        <v>18716000</v>
      </c>
      <c r="G336" s="64"/>
      <c r="H336" s="64"/>
      <c r="I336" s="56"/>
      <c r="J336" s="56"/>
      <c r="K336" s="56"/>
      <c r="L336" s="88">
        <f t="shared" si="97"/>
        <v>0</v>
      </c>
      <c r="M336" s="58"/>
      <c r="N336" s="58" t="str">
        <f t="shared" si="98"/>
        <v/>
      </c>
      <c r="O336" s="59"/>
    </row>
    <row r="337" spans="1:15" ht="18.75" customHeight="1">
      <c r="A337" s="60">
        <f t="shared" si="99"/>
        <v>95</v>
      </c>
      <c r="B337" s="61" t="s">
        <v>42</v>
      </c>
      <c r="C337" s="97">
        <v>2</v>
      </c>
      <c r="D337" s="63">
        <v>5600000</v>
      </c>
      <c r="E337" s="102">
        <f t="shared" si="100"/>
        <v>11200000</v>
      </c>
      <c r="G337" s="64"/>
      <c r="H337" s="64"/>
      <c r="I337" s="56"/>
      <c r="J337" s="56"/>
      <c r="K337" s="56"/>
      <c r="L337" s="88">
        <f t="shared" si="97"/>
        <v>0</v>
      </c>
      <c r="M337" s="58"/>
      <c r="N337" s="58" t="str">
        <f t="shared" si="98"/>
        <v/>
      </c>
      <c r="O337" s="59"/>
    </row>
    <row r="338" spans="1:15" ht="18.75" customHeight="1">
      <c r="A338" s="60">
        <f t="shared" si="99"/>
        <v>96</v>
      </c>
      <c r="B338" s="61" t="s">
        <v>44</v>
      </c>
      <c r="C338" s="97">
        <v>1</v>
      </c>
      <c r="D338" s="63">
        <v>1350000</v>
      </c>
      <c r="E338" s="102">
        <f>C338*D338</f>
        <v>1350000</v>
      </c>
      <c r="G338" s="64"/>
      <c r="H338" s="64"/>
      <c r="I338" s="56"/>
      <c r="J338" s="56"/>
      <c r="K338" s="56"/>
      <c r="L338" s="88">
        <f t="shared" si="97"/>
        <v>0</v>
      </c>
      <c r="M338" s="58"/>
      <c r="N338" s="58" t="str">
        <f t="shared" si="98"/>
        <v/>
      </c>
      <c r="O338" s="59"/>
    </row>
    <row r="339" spans="1:15" ht="18.75" customHeight="1">
      <c r="A339" s="60">
        <f t="shared" si="99"/>
        <v>97</v>
      </c>
      <c r="B339" s="61" t="s">
        <v>79</v>
      </c>
      <c r="C339" s="97">
        <v>2</v>
      </c>
      <c r="D339" s="63">
        <v>2500000</v>
      </c>
      <c r="E339" s="102">
        <f t="shared" ref="E339" si="101">C339*D339</f>
        <v>5000000</v>
      </c>
      <c r="G339" s="64"/>
      <c r="H339" s="64"/>
      <c r="I339" s="56"/>
      <c r="J339" s="56"/>
      <c r="K339" s="56"/>
      <c r="L339" s="88">
        <f t="shared" si="97"/>
        <v>0</v>
      </c>
      <c r="M339" s="58"/>
      <c r="N339" s="58" t="str">
        <f t="shared" si="98"/>
        <v/>
      </c>
      <c r="O339" s="59"/>
    </row>
    <row r="340" spans="1:15" ht="18.75" customHeight="1">
      <c r="A340" s="60">
        <f t="shared" si="99"/>
        <v>98</v>
      </c>
      <c r="B340" s="61" t="s">
        <v>45</v>
      </c>
      <c r="C340" s="97">
        <v>53</v>
      </c>
      <c r="D340" s="63">
        <v>50000</v>
      </c>
      <c r="E340" s="102">
        <f>C340*D340</f>
        <v>2650000</v>
      </c>
      <c r="G340" s="64"/>
      <c r="H340" s="64"/>
      <c r="I340" s="56"/>
      <c r="J340" s="56"/>
      <c r="K340" s="56"/>
      <c r="L340" s="88">
        <f t="shared" si="97"/>
        <v>0</v>
      </c>
      <c r="M340" s="58"/>
      <c r="N340" s="58" t="str">
        <f t="shared" si="98"/>
        <v/>
      </c>
      <c r="O340" s="59"/>
    </row>
    <row r="341" spans="1:15" ht="18.75" customHeight="1">
      <c r="A341" s="60">
        <f t="shared" si="99"/>
        <v>99</v>
      </c>
      <c r="B341" s="61" t="s">
        <v>46</v>
      </c>
      <c r="C341" s="97"/>
      <c r="D341" s="63"/>
      <c r="E341" s="102">
        <f>N343</f>
        <v>3701100</v>
      </c>
      <c r="G341" s="64"/>
      <c r="H341" s="64"/>
      <c r="I341" s="56"/>
      <c r="J341" s="56"/>
      <c r="K341" s="56"/>
      <c r="L341" s="88">
        <f t="shared" si="97"/>
        <v>0</v>
      </c>
      <c r="M341" s="58"/>
      <c r="N341" s="58" t="str">
        <f t="shared" si="98"/>
        <v/>
      </c>
      <c r="O341" s="59"/>
    </row>
    <row r="342" spans="1:15" ht="18.75" customHeight="1">
      <c r="A342" s="60"/>
      <c r="B342" s="61"/>
      <c r="C342" s="97"/>
      <c r="D342" s="63"/>
      <c r="E342" s="102"/>
      <c r="F342" s="4"/>
      <c r="G342" s="66"/>
      <c r="H342" s="66"/>
      <c r="I342" s="67"/>
      <c r="J342" s="67"/>
      <c r="K342" s="67"/>
      <c r="L342" s="68"/>
      <c r="M342" s="69"/>
      <c r="N342" s="69"/>
    </row>
    <row r="343" spans="1:15" ht="22.5" customHeight="1">
      <c r="A343" s="70"/>
      <c r="B343" s="70" t="s">
        <v>48</v>
      </c>
      <c r="C343" s="98"/>
      <c r="D343" s="72"/>
      <c r="E343" s="74">
        <f>SUM(E331:E342)</f>
        <v>101101100</v>
      </c>
      <c r="G343" s="73"/>
      <c r="H343" s="73"/>
      <c r="I343" s="73" t="s">
        <v>48</v>
      </c>
      <c r="J343" s="73"/>
      <c r="K343" s="89">
        <f>SUM(K331:K342)</f>
        <v>2030</v>
      </c>
      <c r="L343" s="89">
        <f>SUM(L331:L342)</f>
        <v>26390</v>
      </c>
      <c r="M343" s="89"/>
      <c r="N343" s="74">
        <f>SUM(N331:N342)</f>
        <v>3701100</v>
      </c>
    </row>
    <row r="344" spans="1:15" s="3" customFormat="1">
      <c r="A344" s="5"/>
      <c r="B344" s="5"/>
      <c r="C344" s="99"/>
      <c r="D344" s="7"/>
      <c r="E344" s="103"/>
      <c r="F344" s="5"/>
    </row>
    <row r="345" spans="1:15" ht="31.5" customHeight="1">
      <c r="A345" s="73" t="s">
        <v>0</v>
      </c>
      <c r="B345" s="165" t="s">
        <v>21</v>
      </c>
      <c r="C345" s="105" t="s">
        <v>50</v>
      </c>
      <c r="D345" s="106" t="s">
        <v>51</v>
      </c>
      <c r="E345" s="106" t="s">
        <v>9</v>
      </c>
      <c r="F345" s="876" t="s">
        <v>117</v>
      </c>
      <c r="G345" s="877"/>
      <c r="H345" s="878"/>
      <c r="I345" s="106" t="s">
        <v>52</v>
      </c>
    </row>
    <row r="346" spans="1:15">
      <c r="A346" s="60">
        <v>1</v>
      </c>
      <c r="B346" s="61" t="s">
        <v>410</v>
      </c>
      <c r="C346" s="97">
        <v>294308</v>
      </c>
      <c r="D346" s="63">
        <v>22650</v>
      </c>
      <c r="E346" s="63">
        <f>C346*D346</f>
        <v>6666076200</v>
      </c>
      <c r="F346" s="170"/>
      <c r="G346" s="171"/>
      <c r="H346" s="172"/>
      <c r="I346" s="63"/>
    </row>
    <row r="347" spans="1:15">
      <c r="A347" s="60">
        <v>2</v>
      </c>
      <c r="B347" s="61" t="s">
        <v>123</v>
      </c>
      <c r="C347" s="97"/>
      <c r="D347" s="63"/>
      <c r="E347" s="63"/>
      <c r="F347" s="873">
        <f>1825573*2</f>
        <v>3651146</v>
      </c>
      <c r="G347" s="874"/>
      <c r="H347" s="875"/>
      <c r="I347" s="63"/>
    </row>
    <row r="348" spans="1:15">
      <c r="A348" s="60">
        <v>3</v>
      </c>
      <c r="B348" s="61" t="s">
        <v>324</v>
      </c>
      <c r="C348" s="97"/>
      <c r="D348" s="63"/>
      <c r="E348" s="63"/>
      <c r="F348" s="873"/>
      <c r="G348" s="874"/>
      <c r="H348" s="875"/>
      <c r="I348" s="63">
        <f>E343</f>
        <v>101101100</v>
      </c>
    </row>
    <row r="349" spans="1:15">
      <c r="A349" s="60">
        <v>4</v>
      </c>
      <c r="B349" s="61" t="s">
        <v>142</v>
      </c>
      <c r="C349" s="97"/>
      <c r="D349" s="63"/>
      <c r="E349" s="63"/>
      <c r="F349" s="873">
        <f>ROUND(I349*0.055%,0)</f>
        <v>820069</v>
      </c>
      <c r="G349" s="874"/>
      <c r="H349" s="875"/>
      <c r="I349" s="63">
        <v>1491035000</v>
      </c>
    </row>
    <row r="350" spans="1:15">
      <c r="A350" s="60">
        <v>7</v>
      </c>
      <c r="B350" s="61" t="s">
        <v>56</v>
      </c>
      <c r="C350" s="62"/>
      <c r="D350" s="63"/>
      <c r="E350" s="63">
        <f>C350*D350</f>
        <v>0</v>
      </c>
      <c r="F350" s="873">
        <f>ROUND(I350*0.055%,0)</f>
        <v>2786095</v>
      </c>
      <c r="G350" s="874"/>
      <c r="H350" s="875"/>
      <c r="I350" s="63">
        <v>5065628000</v>
      </c>
    </row>
    <row r="351" spans="1:15" ht="6" customHeight="1">
      <c r="A351" s="60"/>
      <c r="B351" s="115"/>
      <c r="C351" s="116"/>
      <c r="D351" s="113"/>
      <c r="E351" s="113"/>
      <c r="F351" s="167"/>
      <c r="G351" s="168"/>
      <c r="H351" s="169"/>
      <c r="I351" s="113"/>
    </row>
    <row r="352" spans="1:15">
      <c r="A352" s="70"/>
      <c r="B352" s="70" t="s">
        <v>57</v>
      </c>
      <c r="C352" s="71"/>
      <c r="D352" s="72"/>
      <c r="E352" s="72">
        <f>SUM(E346:E351)</f>
        <v>6666076200</v>
      </c>
      <c r="F352" s="870">
        <f>SUM(F346:H351)</f>
        <v>7257310</v>
      </c>
      <c r="G352" s="871"/>
      <c r="H352" s="872"/>
      <c r="I352" s="72">
        <f>SUM(I346:I351)</f>
        <v>6657764100</v>
      </c>
    </row>
    <row r="353" spans="1:15">
      <c r="A353" s="162" t="s">
        <v>303</v>
      </c>
      <c r="K353" s="122"/>
    </row>
    <row r="354" spans="1:15">
      <c r="H354" s="164"/>
      <c r="I354" s="122"/>
    </row>
    <row r="355" spans="1:15">
      <c r="I355" s="122"/>
    </row>
    <row r="358" spans="1:15" ht="43.5" customHeight="1">
      <c r="A358" s="891"/>
      <c r="B358" s="891"/>
      <c r="C358" s="891"/>
      <c r="D358" s="891"/>
      <c r="E358" s="891"/>
      <c r="F358" s="87"/>
      <c r="G358" s="892" t="s">
        <v>377</v>
      </c>
      <c r="H358" s="892"/>
      <c r="I358" s="892"/>
      <c r="J358" s="892"/>
      <c r="K358" s="892"/>
      <c r="L358" s="892"/>
      <c r="M358" s="892"/>
      <c r="N358" s="892"/>
    </row>
    <row r="359" spans="1:15" s="25" customFormat="1" ht="17.25" customHeight="1">
      <c r="A359" s="40"/>
      <c r="B359" s="40"/>
      <c r="C359" s="178"/>
      <c r="D359" s="86"/>
      <c r="E359" s="100"/>
      <c r="F359" s="44"/>
      <c r="G359" s="45" t="s">
        <v>29</v>
      </c>
      <c r="I359" s="91"/>
    </row>
    <row r="360" spans="1:15" s="85" customFormat="1" ht="36.75" customHeight="1">
      <c r="A360" s="179"/>
      <c r="B360" s="179"/>
      <c r="C360" s="180"/>
      <c r="D360" s="181"/>
      <c r="E360" s="182"/>
      <c r="G360" s="47" t="s">
        <v>30</v>
      </c>
      <c r="H360" s="47" t="s">
        <v>31</v>
      </c>
      <c r="I360" s="47" t="s">
        <v>103</v>
      </c>
      <c r="J360" s="47" t="s">
        <v>32</v>
      </c>
      <c r="K360" s="47" t="s">
        <v>83</v>
      </c>
      <c r="L360" s="46" t="s">
        <v>33</v>
      </c>
      <c r="M360" s="49" t="s">
        <v>106</v>
      </c>
      <c r="N360" s="49" t="s">
        <v>9</v>
      </c>
    </row>
    <row r="361" spans="1:15" ht="18.75" customHeight="1">
      <c r="A361" s="183"/>
      <c r="B361" s="184"/>
      <c r="C361" s="185"/>
      <c r="D361" s="186"/>
      <c r="E361" s="187"/>
      <c r="G361" s="64">
        <v>42726</v>
      </c>
      <c r="H361" s="64">
        <v>42733</v>
      </c>
      <c r="I361" s="56" t="s">
        <v>317</v>
      </c>
      <c r="J361" s="56">
        <f>IF(AND(H361&lt;&gt;"",H361-G361+1&gt;2),H361-G361-1,"")</f>
        <v>6</v>
      </c>
      <c r="K361" s="56">
        <v>69</v>
      </c>
      <c r="L361" s="88">
        <f t="shared" ref="L361:L363" si="102">K361*13</f>
        <v>897</v>
      </c>
      <c r="M361" s="58">
        <f>IF(J361&lt;&gt;"",20000,"")</f>
        <v>20000</v>
      </c>
      <c r="N361" s="58">
        <f t="shared" ref="N361:N364" si="103">IF(J361&lt;&gt;"",M361*L361*J361/1000,"")</f>
        <v>107640</v>
      </c>
      <c r="O361" s="59"/>
    </row>
    <row r="362" spans="1:15" ht="18.75" customHeight="1">
      <c r="A362" s="183"/>
      <c r="B362" s="184"/>
      <c r="C362" s="185"/>
      <c r="D362" s="186"/>
      <c r="E362" s="187"/>
      <c r="G362" s="64">
        <v>42726</v>
      </c>
      <c r="H362" s="64">
        <v>42733</v>
      </c>
      <c r="I362" s="56" t="s">
        <v>322</v>
      </c>
      <c r="J362" s="56">
        <f t="shared" ref="J362:J385" si="104">IF(AND(H362&lt;&gt;"",H362-G362+1&gt;2),H362-G362-1,"")</f>
        <v>6</v>
      </c>
      <c r="K362" s="56">
        <v>1194</v>
      </c>
      <c r="L362" s="88">
        <f t="shared" si="102"/>
        <v>15522</v>
      </c>
      <c r="M362" s="58">
        <f t="shared" ref="M362:M363" si="105">IF(J362&lt;&gt;"",20000,"")</f>
        <v>20000</v>
      </c>
      <c r="N362" s="58">
        <f t="shared" si="103"/>
        <v>1862640</v>
      </c>
      <c r="O362" s="59"/>
    </row>
    <row r="363" spans="1:15" ht="18.75" customHeight="1">
      <c r="A363" s="183"/>
      <c r="B363" s="184"/>
      <c r="C363" s="185"/>
      <c r="D363" s="186"/>
      <c r="E363" s="187"/>
      <c r="G363" s="64">
        <v>42730</v>
      </c>
      <c r="H363" s="64">
        <v>42733</v>
      </c>
      <c r="I363" s="56" t="s">
        <v>368</v>
      </c>
      <c r="J363" s="56">
        <f t="shared" si="104"/>
        <v>2</v>
      </c>
      <c r="K363" s="56">
        <f>445</f>
        <v>445</v>
      </c>
      <c r="L363" s="88">
        <f t="shared" si="102"/>
        <v>5785</v>
      </c>
      <c r="M363" s="58">
        <f t="shared" si="105"/>
        <v>20000</v>
      </c>
      <c r="N363" s="58">
        <f t="shared" si="103"/>
        <v>231400</v>
      </c>
      <c r="O363" s="59"/>
    </row>
    <row r="364" spans="1:15" ht="18.75" customHeight="1">
      <c r="A364" s="183"/>
      <c r="B364" s="184"/>
      <c r="C364" s="185"/>
      <c r="D364" s="186"/>
      <c r="E364" s="187"/>
      <c r="G364" s="64">
        <v>42731</v>
      </c>
      <c r="H364" s="64">
        <v>42733</v>
      </c>
      <c r="I364" s="56" t="s">
        <v>98</v>
      </c>
      <c r="J364" s="56">
        <f t="shared" si="104"/>
        <v>1</v>
      </c>
      <c r="K364" s="56">
        <f>419-97</f>
        <v>322</v>
      </c>
      <c r="L364" s="88">
        <f t="shared" ref="L364" si="106">K364*13</f>
        <v>4186</v>
      </c>
      <c r="M364" s="58">
        <f t="shared" ref="M364" si="107">IF(J364&lt;&gt;"",20000,"")</f>
        <v>20000</v>
      </c>
      <c r="N364" s="58">
        <f t="shared" si="103"/>
        <v>83720</v>
      </c>
      <c r="O364" s="59"/>
    </row>
    <row r="365" spans="1:15" ht="18.75" customHeight="1">
      <c r="A365" s="183"/>
      <c r="B365" s="184"/>
      <c r="C365" s="185"/>
      <c r="D365" s="186"/>
      <c r="E365" s="187"/>
      <c r="G365" s="64">
        <v>42733</v>
      </c>
      <c r="H365" s="64">
        <v>42733</v>
      </c>
      <c r="I365" s="56" t="s">
        <v>371</v>
      </c>
      <c r="J365" s="56" t="str">
        <f t="shared" si="104"/>
        <v/>
      </c>
      <c r="K365" s="56">
        <v>2030</v>
      </c>
      <c r="L365" s="88">
        <f>K365*13</f>
        <v>26390</v>
      </c>
      <c r="M365" s="58" t="str">
        <f>IF(J365&lt;&gt;"",20000,"")</f>
        <v/>
      </c>
      <c r="N365" s="58" t="str">
        <f>IF(J365&lt;&gt;"",M365*L365*J365/1000,"")</f>
        <v/>
      </c>
      <c r="O365" s="59"/>
    </row>
    <row r="366" spans="1:15" ht="18.75" customHeight="1">
      <c r="A366" s="183"/>
      <c r="B366" s="184"/>
      <c r="C366" s="185"/>
      <c r="D366" s="186"/>
      <c r="E366" s="187"/>
      <c r="G366" s="64">
        <v>42731</v>
      </c>
      <c r="H366" s="64">
        <v>42737</v>
      </c>
      <c r="I366" s="56" t="s">
        <v>98</v>
      </c>
      <c r="J366" s="56">
        <f t="shared" si="104"/>
        <v>5</v>
      </c>
      <c r="K366" s="56">
        <v>97</v>
      </c>
      <c r="L366" s="88">
        <f t="shared" ref="L366" si="108">K366*13</f>
        <v>1261</v>
      </c>
      <c r="M366" s="58">
        <f t="shared" ref="M366" si="109">IF(J366&lt;&gt;"",20000,"")</f>
        <v>20000</v>
      </c>
      <c r="N366" s="58">
        <f t="shared" ref="N366" si="110">IF(J366&lt;&gt;"",M366*L366*J366/1000,"")</f>
        <v>126100</v>
      </c>
      <c r="O366" s="59"/>
    </row>
    <row r="367" spans="1:15" ht="18.75" customHeight="1">
      <c r="A367" s="183"/>
      <c r="B367" s="184"/>
      <c r="C367" s="185"/>
      <c r="D367" s="186"/>
      <c r="E367" s="187"/>
      <c r="G367" s="64">
        <v>42731</v>
      </c>
      <c r="H367" s="64">
        <v>42737</v>
      </c>
      <c r="I367" s="56" t="s">
        <v>321</v>
      </c>
      <c r="J367" s="56">
        <f t="shared" si="104"/>
        <v>5</v>
      </c>
      <c r="K367" s="56">
        <v>445</v>
      </c>
      <c r="L367" s="88">
        <f t="shared" ref="L367:L385" si="111">K367*13</f>
        <v>5785</v>
      </c>
      <c r="M367" s="58">
        <f t="shared" ref="M367:M385" si="112">IF(J367&lt;&gt;"",20000,"")</f>
        <v>20000</v>
      </c>
      <c r="N367" s="58">
        <f t="shared" ref="N367:N385" si="113">IF(J367&lt;&gt;"",M367*L367*J367/1000,"")</f>
        <v>578500</v>
      </c>
      <c r="O367" s="59"/>
    </row>
    <row r="368" spans="1:15" ht="18.75" customHeight="1">
      <c r="A368" s="183"/>
      <c r="B368" s="184"/>
      <c r="C368" s="185"/>
      <c r="D368" s="186"/>
      <c r="E368" s="187"/>
      <c r="G368" s="64">
        <v>42731</v>
      </c>
      <c r="H368" s="64">
        <v>42737</v>
      </c>
      <c r="I368" s="56" t="s">
        <v>369</v>
      </c>
      <c r="J368" s="56">
        <f t="shared" si="104"/>
        <v>5</v>
      </c>
      <c r="K368" s="56">
        <v>800</v>
      </c>
      <c r="L368" s="88">
        <f t="shared" si="111"/>
        <v>10400</v>
      </c>
      <c r="M368" s="58">
        <f t="shared" si="112"/>
        <v>20000</v>
      </c>
      <c r="N368" s="58">
        <f t="shared" si="113"/>
        <v>1040000</v>
      </c>
      <c r="O368" s="59"/>
    </row>
    <row r="369" spans="1:15" ht="18.75" customHeight="1">
      <c r="A369" s="183"/>
      <c r="B369" s="184"/>
      <c r="C369" s="185"/>
      <c r="D369" s="186"/>
      <c r="E369" s="187"/>
      <c r="G369" s="64">
        <v>42732</v>
      </c>
      <c r="H369" s="64">
        <v>42737</v>
      </c>
      <c r="I369" s="56" t="s">
        <v>370</v>
      </c>
      <c r="J369" s="56">
        <f t="shared" si="104"/>
        <v>4</v>
      </c>
      <c r="K369" s="56">
        <f>450-138-4</f>
        <v>308</v>
      </c>
      <c r="L369" s="88">
        <f t="shared" si="111"/>
        <v>4004</v>
      </c>
      <c r="M369" s="58">
        <f t="shared" si="112"/>
        <v>20000</v>
      </c>
      <c r="N369" s="58">
        <f t="shared" si="113"/>
        <v>320320</v>
      </c>
      <c r="O369" s="59"/>
    </row>
    <row r="370" spans="1:15" ht="18.75" customHeight="1">
      <c r="A370" s="183"/>
      <c r="B370" s="184"/>
      <c r="C370" s="185"/>
      <c r="D370" s="186"/>
      <c r="E370" s="187"/>
      <c r="G370" s="64">
        <v>42732</v>
      </c>
      <c r="H370" s="64">
        <v>42740</v>
      </c>
      <c r="I370" s="56" t="s">
        <v>370</v>
      </c>
      <c r="J370" s="56">
        <f t="shared" si="104"/>
        <v>7</v>
      </c>
      <c r="K370" s="56">
        <v>142</v>
      </c>
      <c r="L370" s="88">
        <f t="shared" si="111"/>
        <v>1846</v>
      </c>
      <c r="M370" s="58">
        <f t="shared" si="112"/>
        <v>20000</v>
      </c>
      <c r="N370" s="58">
        <f t="shared" si="113"/>
        <v>258440</v>
      </c>
      <c r="O370" s="59"/>
    </row>
    <row r="371" spans="1:15" ht="18.75" customHeight="1">
      <c r="A371" s="183"/>
      <c r="B371" s="184"/>
      <c r="C371" s="185"/>
      <c r="D371" s="186"/>
      <c r="E371" s="187"/>
      <c r="G371" s="64">
        <v>42732</v>
      </c>
      <c r="H371" s="64">
        <v>42740</v>
      </c>
      <c r="I371" s="56" t="s">
        <v>119</v>
      </c>
      <c r="J371" s="56">
        <f t="shared" si="104"/>
        <v>7</v>
      </c>
      <c r="K371" s="56">
        <f>676-345</f>
        <v>331</v>
      </c>
      <c r="L371" s="88">
        <f t="shared" si="111"/>
        <v>4303</v>
      </c>
      <c r="M371" s="58">
        <f t="shared" si="112"/>
        <v>20000</v>
      </c>
      <c r="N371" s="58">
        <f t="shared" si="113"/>
        <v>602420</v>
      </c>
      <c r="O371" s="59"/>
    </row>
    <row r="372" spans="1:15" ht="19.5" customHeight="1">
      <c r="A372" s="183"/>
      <c r="B372" s="184"/>
      <c r="C372" s="185"/>
      <c r="D372" s="186"/>
      <c r="E372" s="187"/>
      <c r="G372" s="64">
        <v>42732</v>
      </c>
      <c r="H372" s="64">
        <v>42740</v>
      </c>
      <c r="I372" s="56" t="s">
        <v>119</v>
      </c>
      <c r="J372" s="56">
        <f t="shared" si="104"/>
        <v>7</v>
      </c>
      <c r="K372" s="56">
        <v>345</v>
      </c>
      <c r="L372" s="88">
        <f t="shared" si="111"/>
        <v>4485</v>
      </c>
      <c r="M372" s="58">
        <f t="shared" si="112"/>
        <v>20000</v>
      </c>
      <c r="N372" s="58">
        <f t="shared" si="113"/>
        <v>627900</v>
      </c>
      <c r="O372" s="59"/>
    </row>
    <row r="373" spans="1:15" ht="19.5" customHeight="1">
      <c r="A373" s="183"/>
      <c r="B373" s="184"/>
      <c r="C373" s="185"/>
      <c r="D373" s="186"/>
      <c r="E373" s="187"/>
      <c r="G373" s="64">
        <v>42732</v>
      </c>
      <c r="H373" s="64">
        <v>42740</v>
      </c>
      <c r="I373" s="56" t="s">
        <v>121</v>
      </c>
      <c r="J373" s="56">
        <f t="shared" si="104"/>
        <v>7</v>
      </c>
      <c r="K373" s="56">
        <v>523</v>
      </c>
      <c r="L373" s="88">
        <f t="shared" si="111"/>
        <v>6799</v>
      </c>
      <c r="M373" s="58">
        <f t="shared" si="112"/>
        <v>20000</v>
      </c>
      <c r="N373" s="58">
        <f t="shared" si="113"/>
        <v>951860</v>
      </c>
      <c r="O373" s="59"/>
    </row>
    <row r="374" spans="1:15" ht="19.5" customHeight="1">
      <c r="A374" s="183"/>
      <c r="B374" s="184"/>
      <c r="C374" s="185"/>
      <c r="D374" s="186"/>
      <c r="E374" s="187"/>
      <c r="G374" s="64">
        <v>42733</v>
      </c>
      <c r="H374" s="64">
        <v>42740</v>
      </c>
      <c r="I374" s="56" t="s">
        <v>86</v>
      </c>
      <c r="J374" s="56">
        <f t="shared" si="104"/>
        <v>6</v>
      </c>
      <c r="K374" s="56">
        <v>520</v>
      </c>
      <c r="L374" s="88">
        <f t="shared" si="111"/>
        <v>6760</v>
      </c>
      <c r="M374" s="58">
        <f t="shared" si="112"/>
        <v>20000</v>
      </c>
      <c r="N374" s="58">
        <f t="shared" si="113"/>
        <v>811200</v>
      </c>
      <c r="O374" s="59"/>
    </row>
    <row r="375" spans="1:15" ht="19.5" customHeight="1">
      <c r="A375" s="183"/>
      <c r="B375" s="184"/>
      <c r="C375" s="185"/>
      <c r="D375" s="186"/>
      <c r="E375" s="187"/>
      <c r="G375" s="64">
        <v>42733</v>
      </c>
      <c r="H375" s="64">
        <v>42740</v>
      </c>
      <c r="I375" s="56" t="s">
        <v>372</v>
      </c>
      <c r="J375" s="56">
        <f t="shared" si="104"/>
        <v>6</v>
      </c>
      <c r="K375" s="56">
        <f>540</f>
        <v>540</v>
      </c>
      <c r="L375" s="88">
        <f t="shared" si="111"/>
        <v>7020</v>
      </c>
      <c r="M375" s="58">
        <f t="shared" si="112"/>
        <v>20000</v>
      </c>
      <c r="N375" s="58">
        <f t="shared" si="113"/>
        <v>842400</v>
      </c>
      <c r="O375" s="59"/>
    </row>
    <row r="376" spans="1:15" ht="19.5" customHeight="1">
      <c r="A376" s="183"/>
      <c r="B376" s="184"/>
      <c r="C376" s="185"/>
      <c r="D376" s="186"/>
      <c r="E376" s="187"/>
      <c r="G376" s="64">
        <v>42733</v>
      </c>
      <c r="H376" s="64">
        <v>42740</v>
      </c>
      <c r="I376" s="56" t="s">
        <v>186</v>
      </c>
      <c r="J376" s="56">
        <f t="shared" si="104"/>
        <v>6</v>
      </c>
      <c r="K376" s="56">
        <v>637</v>
      </c>
      <c r="L376" s="88">
        <f t="shared" si="111"/>
        <v>8281</v>
      </c>
      <c r="M376" s="58">
        <f t="shared" si="112"/>
        <v>20000</v>
      </c>
      <c r="N376" s="58">
        <f t="shared" si="113"/>
        <v>993720</v>
      </c>
      <c r="O376" s="59"/>
    </row>
    <row r="377" spans="1:15" ht="19.5" customHeight="1">
      <c r="A377" s="183"/>
      <c r="B377" s="184"/>
      <c r="C377" s="185"/>
      <c r="D377" s="186"/>
      <c r="E377" s="187"/>
      <c r="G377" s="64">
        <v>42734</v>
      </c>
      <c r="H377" s="64">
        <v>42740</v>
      </c>
      <c r="I377" s="56" t="s">
        <v>373</v>
      </c>
      <c r="J377" s="56">
        <f t="shared" si="104"/>
        <v>5</v>
      </c>
      <c r="K377" s="56">
        <v>173</v>
      </c>
      <c r="L377" s="88">
        <f t="shared" si="111"/>
        <v>2249</v>
      </c>
      <c r="M377" s="58">
        <f t="shared" si="112"/>
        <v>20000</v>
      </c>
      <c r="N377" s="58">
        <f t="shared" si="113"/>
        <v>224900</v>
      </c>
      <c r="O377" s="59"/>
    </row>
    <row r="378" spans="1:15" ht="19.5" customHeight="1">
      <c r="A378" s="183"/>
      <c r="B378" s="184"/>
      <c r="C378" s="185"/>
      <c r="D378" s="186"/>
      <c r="E378" s="187"/>
      <c r="G378" s="64">
        <v>42734</v>
      </c>
      <c r="H378" s="64">
        <v>42740</v>
      </c>
      <c r="I378" s="56" t="s">
        <v>374</v>
      </c>
      <c r="J378" s="56">
        <f t="shared" si="104"/>
        <v>5</v>
      </c>
      <c r="K378" s="56">
        <v>440</v>
      </c>
      <c r="L378" s="88">
        <f t="shared" si="111"/>
        <v>5720</v>
      </c>
      <c r="M378" s="58">
        <f t="shared" si="112"/>
        <v>20000</v>
      </c>
      <c r="N378" s="58">
        <f t="shared" si="113"/>
        <v>572000</v>
      </c>
      <c r="O378" s="59"/>
    </row>
    <row r="379" spans="1:15" ht="19.5" customHeight="1">
      <c r="A379" s="183"/>
      <c r="B379" s="184"/>
      <c r="C379" s="185"/>
      <c r="D379" s="186"/>
      <c r="E379" s="187"/>
      <c r="G379" s="64">
        <v>42734</v>
      </c>
      <c r="H379" s="64">
        <v>42740</v>
      </c>
      <c r="I379" s="56" t="s">
        <v>125</v>
      </c>
      <c r="J379" s="56">
        <f t="shared" si="104"/>
        <v>5</v>
      </c>
      <c r="K379" s="56">
        <v>406</v>
      </c>
      <c r="L379" s="88">
        <f t="shared" si="111"/>
        <v>5278</v>
      </c>
      <c r="M379" s="58">
        <f t="shared" si="112"/>
        <v>20000</v>
      </c>
      <c r="N379" s="58">
        <f t="shared" si="113"/>
        <v>527800</v>
      </c>
      <c r="O379" s="59"/>
    </row>
    <row r="380" spans="1:15" ht="19.5" customHeight="1">
      <c r="A380" s="183"/>
      <c r="B380" s="184"/>
      <c r="C380" s="185"/>
      <c r="D380" s="186"/>
      <c r="E380" s="187"/>
      <c r="G380" s="64">
        <v>42734</v>
      </c>
      <c r="H380" s="64">
        <v>42740</v>
      </c>
      <c r="I380" s="56" t="s">
        <v>283</v>
      </c>
      <c r="J380" s="56">
        <f t="shared" si="104"/>
        <v>5</v>
      </c>
      <c r="K380" s="56">
        <f>285-281</f>
        <v>4</v>
      </c>
      <c r="L380" s="88">
        <f t="shared" si="111"/>
        <v>52</v>
      </c>
      <c r="M380" s="58">
        <f t="shared" si="112"/>
        <v>20000</v>
      </c>
      <c r="N380" s="58">
        <f t="shared" si="113"/>
        <v>5200</v>
      </c>
      <c r="O380" s="59"/>
    </row>
    <row r="381" spans="1:15" ht="19.5" customHeight="1">
      <c r="A381" s="183"/>
      <c r="B381" s="184"/>
      <c r="C381" s="185"/>
      <c r="D381" s="186"/>
      <c r="E381" s="187"/>
      <c r="G381" s="64">
        <v>42734</v>
      </c>
      <c r="H381" s="64">
        <v>42741</v>
      </c>
      <c r="I381" s="56" t="s">
        <v>283</v>
      </c>
      <c r="J381" s="56">
        <f t="shared" si="104"/>
        <v>6</v>
      </c>
      <c r="K381" s="56">
        <v>281</v>
      </c>
      <c r="L381" s="88">
        <f t="shared" si="111"/>
        <v>3653</v>
      </c>
      <c r="M381" s="58">
        <f t="shared" si="112"/>
        <v>20000</v>
      </c>
      <c r="N381" s="58">
        <f t="shared" si="113"/>
        <v>438360</v>
      </c>
      <c r="O381" s="59"/>
    </row>
    <row r="382" spans="1:15" ht="19.5" customHeight="1">
      <c r="A382" s="183"/>
      <c r="B382" s="184"/>
      <c r="C382" s="185"/>
      <c r="D382" s="186"/>
      <c r="E382" s="187"/>
      <c r="G382" s="64">
        <v>42737</v>
      </c>
      <c r="H382" s="64">
        <v>42741</v>
      </c>
      <c r="I382" s="56" t="s">
        <v>86</v>
      </c>
      <c r="J382" s="56">
        <f t="shared" si="104"/>
        <v>3</v>
      </c>
      <c r="K382" s="56">
        <v>508</v>
      </c>
      <c r="L382" s="88">
        <f t="shared" si="111"/>
        <v>6604</v>
      </c>
      <c r="M382" s="58">
        <f t="shared" si="112"/>
        <v>20000</v>
      </c>
      <c r="N382" s="58">
        <f t="shared" si="113"/>
        <v>396240</v>
      </c>
      <c r="O382" s="59"/>
    </row>
    <row r="383" spans="1:15" ht="19.5" customHeight="1">
      <c r="A383" s="183"/>
      <c r="B383" s="184"/>
      <c r="C383" s="185"/>
      <c r="D383" s="186"/>
      <c r="E383" s="187"/>
      <c r="G383" s="64">
        <v>42738</v>
      </c>
      <c r="H383" s="64">
        <v>42741</v>
      </c>
      <c r="I383" s="56" t="s">
        <v>119</v>
      </c>
      <c r="J383" s="56">
        <f t="shared" si="104"/>
        <v>2</v>
      </c>
      <c r="K383" s="56">
        <v>432</v>
      </c>
      <c r="L383" s="88">
        <f t="shared" si="111"/>
        <v>5616</v>
      </c>
      <c r="M383" s="58">
        <f t="shared" si="112"/>
        <v>20000</v>
      </c>
      <c r="N383" s="58">
        <f t="shared" si="113"/>
        <v>224640</v>
      </c>
      <c r="O383" s="59"/>
    </row>
    <row r="384" spans="1:15" ht="19.5" customHeight="1">
      <c r="A384" s="183"/>
      <c r="B384" s="184"/>
      <c r="C384" s="185"/>
      <c r="D384" s="186"/>
      <c r="E384" s="187"/>
      <c r="G384" s="64">
        <v>42738</v>
      </c>
      <c r="H384" s="64">
        <v>42741</v>
      </c>
      <c r="I384" s="56" t="s">
        <v>369</v>
      </c>
      <c r="J384" s="56">
        <f t="shared" si="104"/>
        <v>2</v>
      </c>
      <c r="K384" s="56">
        <v>805</v>
      </c>
      <c r="L384" s="88">
        <f t="shared" si="111"/>
        <v>10465</v>
      </c>
      <c r="M384" s="58">
        <f t="shared" si="112"/>
        <v>20000</v>
      </c>
      <c r="N384" s="58">
        <f t="shared" si="113"/>
        <v>418600</v>
      </c>
      <c r="O384" s="59"/>
    </row>
    <row r="385" spans="1:15" ht="19.5" customHeight="1">
      <c r="A385" s="183"/>
      <c r="B385" s="184"/>
      <c r="C385" s="185"/>
      <c r="D385" s="186"/>
      <c r="E385" s="187"/>
      <c r="G385" s="64">
        <v>42739</v>
      </c>
      <c r="H385" s="64">
        <v>42741</v>
      </c>
      <c r="I385" s="56" t="s">
        <v>376</v>
      </c>
      <c r="J385" s="56">
        <f t="shared" si="104"/>
        <v>1</v>
      </c>
      <c r="K385" s="56">
        <f>448-444</f>
        <v>4</v>
      </c>
      <c r="L385" s="88">
        <f t="shared" si="111"/>
        <v>52</v>
      </c>
      <c r="M385" s="58">
        <f t="shared" si="112"/>
        <v>20000</v>
      </c>
      <c r="N385" s="58">
        <f t="shared" si="113"/>
        <v>1040</v>
      </c>
      <c r="O385" s="59"/>
    </row>
    <row r="386" spans="1:15" ht="19.5" customHeight="1">
      <c r="A386" s="183"/>
      <c r="B386" s="184"/>
      <c r="C386" s="185"/>
      <c r="D386" s="186"/>
      <c r="E386" s="187"/>
      <c r="G386" s="174"/>
      <c r="H386" s="174"/>
      <c r="I386" s="175"/>
      <c r="J386" s="175"/>
      <c r="K386" s="175"/>
      <c r="L386" s="176"/>
      <c r="M386" s="177"/>
      <c r="N386" s="177"/>
      <c r="O386" s="59"/>
    </row>
    <row r="387" spans="1:15" ht="19.5" customHeight="1">
      <c r="A387" s="183"/>
      <c r="B387" s="184"/>
      <c r="C387" s="185"/>
      <c r="D387" s="186"/>
      <c r="E387" s="187"/>
      <c r="G387" s="73"/>
      <c r="H387" s="73"/>
      <c r="I387" s="73" t="s">
        <v>48</v>
      </c>
      <c r="J387" s="73"/>
      <c r="K387" s="89">
        <f>SUM(K361:K386)</f>
        <v>11801</v>
      </c>
      <c r="L387" s="89">
        <f t="shared" ref="L387:N387" si="114">SUM(L361:L386)</f>
        <v>153413</v>
      </c>
      <c r="M387" s="89"/>
      <c r="N387" s="89">
        <f t="shared" si="114"/>
        <v>12247040</v>
      </c>
      <c r="O387" s="59"/>
    </row>
    <row r="388" spans="1:15" ht="19.5" customHeight="1">
      <c r="A388" s="183"/>
      <c r="B388" s="184"/>
      <c r="C388" s="185"/>
      <c r="D388" s="186"/>
      <c r="E388" s="187"/>
      <c r="G388" s="64">
        <v>42739</v>
      </c>
      <c r="H388" s="64">
        <v>42746</v>
      </c>
      <c r="I388" s="56" t="s">
        <v>376</v>
      </c>
      <c r="J388" s="56">
        <f t="shared" ref="J388:J393" si="115">IF(AND(H388&lt;&gt;"",H388-G388+1&gt;2),H388-G388-1,"")</f>
        <v>6</v>
      </c>
      <c r="K388" s="56">
        <v>444</v>
      </c>
      <c r="L388" s="88">
        <f t="shared" ref="L388:L389" si="116">K388*13</f>
        <v>5772</v>
      </c>
      <c r="M388" s="58">
        <f t="shared" ref="M388:M394" si="117">IF(J388&lt;&gt;"",20000,"")</f>
        <v>20000</v>
      </c>
      <c r="N388" s="58">
        <f t="shared" ref="N388:N389" si="118">IF(J388&lt;&gt;"",M388*L388*J388/1000,"")</f>
        <v>692640</v>
      </c>
      <c r="O388" s="59"/>
    </row>
    <row r="389" spans="1:15" ht="19.5" customHeight="1">
      <c r="A389" s="183"/>
      <c r="B389" s="184"/>
      <c r="C389" s="185"/>
      <c r="D389" s="186"/>
      <c r="E389" s="187"/>
      <c r="G389" s="64">
        <v>42594</v>
      </c>
      <c r="H389" s="64">
        <v>42746</v>
      </c>
      <c r="I389" s="56" t="s">
        <v>104</v>
      </c>
      <c r="J389" s="56">
        <f t="shared" si="115"/>
        <v>151</v>
      </c>
      <c r="K389" s="56">
        <v>20</v>
      </c>
      <c r="L389" s="88">
        <f t="shared" si="116"/>
        <v>260</v>
      </c>
      <c r="M389" s="58">
        <f t="shared" si="117"/>
        <v>20000</v>
      </c>
      <c r="N389" s="58">
        <f t="shared" si="118"/>
        <v>785200</v>
      </c>
      <c r="O389" s="59"/>
    </row>
    <row r="390" spans="1:15" ht="19.5" customHeight="1">
      <c r="A390" s="183"/>
      <c r="B390" s="184"/>
      <c r="C390" s="185"/>
      <c r="D390" s="186"/>
      <c r="E390" s="187"/>
      <c r="G390" s="64">
        <v>42594</v>
      </c>
      <c r="H390" s="64">
        <v>42746</v>
      </c>
      <c r="I390" s="56" t="s">
        <v>105</v>
      </c>
      <c r="J390" s="56">
        <f t="shared" si="115"/>
        <v>151</v>
      </c>
      <c r="K390" s="56">
        <v>8</v>
      </c>
      <c r="L390" s="88">
        <f t="shared" ref="L390:L394" si="119">K390*13</f>
        <v>104</v>
      </c>
      <c r="M390" s="58">
        <f t="shared" si="117"/>
        <v>20000</v>
      </c>
      <c r="N390" s="58">
        <f t="shared" ref="N390:N394" si="120">IF(J390&lt;&gt;"",M390*L390*J390/1000,"")</f>
        <v>314080</v>
      </c>
      <c r="O390" s="59"/>
    </row>
    <row r="391" spans="1:15" ht="29.25" customHeight="1">
      <c r="A391" s="183"/>
      <c r="B391" s="184"/>
      <c r="C391" s="185"/>
      <c r="D391" s="186"/>
      <c r="E391" s="187"/>
      <c r="G391" s="64">
        <v>42710</v>
      </c>
      <c r="H391" s="64">
        <v>42746</v>
      </c>
      <c r="I391" s="137" t="s">
        <v>201</v>
      </c>
      <c r="J391" s="56">
        <f t="shared" si="115"/>
        <v>35</v>
      </c>
      <c r="K391" s="56">
        <v>3</v>
      </c>
      <c r="L391" s="88">
        <f t="shared" si="119"/>
        <v>39</v>
      </c>
      <c r="M391" s="58">
        <f t="shared" si="117"/>
        <v>20000</v>
      </c>
      <c r="N391" s="58">
        <f t="shared" si="120"/>
        <v>27300</v>
      </c>
      <c r="O391" s="59"/>
    </row>
    <row r="392" spans="1:15" ht="19.5" customHeight="1">
      <c r="A392" s="183"/>
      <c r="B392" s="184"/>
      <c r="C392" s="185"/>
      <c r="D392" s="186"/>
      <c r="E392" s="187"/>
      <c r="F392" s="4"/>
      <c r="G392" s="64">
        <v>42737</v>
      </c>
      <c r="H392" s="64">
        <v>42746</v>
      </c>
      <c r="I392" s="56" t="s">
        <v>375</v>
      </c>
      <c r="J392" s="56">
        <f t="shared" si="115"/>
        <v>8</v>
      </c>
      <c r="K392" s="56">
        <v>11</v>
      </c>
      <c r="L392" s="88">
        <f t="shared" si="119"/>
        <v>143</v>
      </c>
      <c r="M392" s="58">
        <f t="shared" si="117"/>
        <v>20000</v>
      </c>
      <c r="N392" s="58">
        <f t="shared" si="120"/>
        <v>22880</v>
      </c>
    </row>
    <row r="393" spans="1:15" ht="19.5" customHeight="1">
      <c r="A393" s="162"/>
      <c r="B393" s="162"/>
      <c r="C393" s="178"/>
      <c r="D393" s="111"/>
      <c r="E393" s="159"/>
      <c r="G393" s="64"/>
      <c r="H393" s="64"/>
      <c r="I393" s="56" t="s">
        <v>111</v>
      </c>
      <c r="J393" s="56" t="str">
        <f t="shared" si="115"/>
        <v/>
      </c>
      <c r="K393" s="56">
        <f>-25-8</f>
        <v>-33</v>
      </c>
      <c r="L393" s="88">
        <f t="shared" si="119"/>
        <v>-429</v>
      </c>
      <c r="M393" s="58" t="str">
        <f t="shared" si="117"/>
        <v/>
      </c>
      <c r="N393" s="58" t="str">
        <f t="shared" si="120"/>
        <v/>
      </c>
    </row>
    <row r="394" spans="1:15" ht="19.5" customHeight="1">
      <c r="A394" s="188"/>
      <c r="B394" s="188"/>
      <c r="C394" s="189"/>
      <c r="D394" s="190"/>
      <c r="E394" s="191"/>
      <c r="G394" s="64"/>
      <c r="H394" s="64"/>
      <c r="I394" s="56"/>
      <c r="J394" s="56" t="str">
        <f t="shared" ref="J394" si="121">IF(AND(H394&lt;&gt;"",H394-G394+1&gt;2),H394-G394+1,"")</f>
        <v/>
      </c>
      <c r="K394" s="56"/>
      <c r="L394" s="88">
        <f t="shared" si="119"/>
        <v>0</v>
      </c>
      <c r="M394" s="58" t="str">
        <f t="shared" si="117"/>
        <v/>
      </c>
      <c r="N394" s="58" t="str">
        <f t="shared" si="120"/>
        <v/>
      </c>
    </row>
    <row r="395" spans="1:15" ht="19.5" customHeight="1">
      <c r="A395" s="188"/>
      <c r="B395" s="188"/>
      <c r="C395" s="189"/>
      <c r="D395" s="190"/>
      <c r="E395" s="191"/>
      <c r="G395" s="66"/>
      <c r="H395" s="66"/>
      <c r="I395" s="67"/>
      <c r="J395" s="67"/>
      <c r="K395" s="67"/>
      <c r="L395" s="68"/>
      <c r="M395" s="69"/>
      <c r="N395" s="69"/>
    </row>
    <row r="396" spans="1:15" ht="19.5" customHeight="1">
      <c r="G396" s="73"/>
      <c r="H396" s="73"/>
      <c r="I396" s="73" t="s">
        <v>380</v>
      </c>
      <c r="J396" s="73"/>
      <c r="K396" s="89">
        <f>SUM(K388:K395)</f>
        <v>453</v>
      </c>
      <c r="L396" s="89">
        <f>SUM(L388:L395)</f>
        <v>5889</v>
      </c>
      <c r="M396" s="89"/>
      <c r="N396" s="89">
        <f>SUM(N388:N395)</f>
        <v>1842100</v>
      </c>
    </row>
    <row r="400" spans="1:15" ht="31.5" customHeight="1">
      <c r="A400" s="73" t="s">
        <v>0</v>
      </c>
      <c r="B400" s="166" t="s">
        <v>21</v>
      </c>
      <c r="C400" s="105" t="s">
        <v>50</v>
      </c>
      <c r="D400" s="106" t="s">
        <v>51</v>
      </c>
      <c r="E400" s="106" t="s">
        <v>9</v>
      </c>
      <c r="F400" s="876" t="s">
        <v>117</v>
      </c>
      <c r="G400" s="877"/>
      <c r="H400" s="878"/>
      <c r="I400" s="106" t="s">
        <v>52</v>
      </c>
    </row>
    <row r="401" spans="1:11">
      <c r="A401" s="60">
        <v>1</v>
      </c>
      <c r="B401" s="61" t="s">
        <v>367</v>
      </c>
      <c r="C401" s="173">
        <v>144188.68</v>
      </c>
      <c r="D401" s="63">
        <v>22480</v>
      </c>
      <c r="E401" s="63">
        <f>C401*D401</f>
        <v>3241361526.3999996</v>
      </c>
      <c r="F401" s="170"/>
      <c r="G401" s="171"/>
      <c r="H401" s="172"/>
      <c r="I401" s="63"/>
    </row>
    <row r="402" spans="1:11">
      <c r="A402" s="60">
        <v>2</v>
      </c>
      <c r="B402" s="61" t="s">
        <v>123</v>
      </c>
      <c r="C402" s="97"/>
      <c r="D402" s="63"/>
      <c r="E402" s="63"/>
      <c r="F402" s="873">
        <f>1825573</f>
        <v>1825573</v>
      </c>
      <c r="G402" s="874"/>
      <c r="H402" s="875"/>
      <c r="I402" s="63"/>
    </row>
    <row r="403" spans="1:11">
      <c r="A403" s="60">
        <v>3</v>
      </c>
      <c r="B403" s="61" t="s">
        <v>378</v>
      </c>
      <c r="C403" s="97"/>
      <c r="D403" s="63"/>
      <c r="E403" s="63"/>
      <c r="F403" s="873"/>
      <c r="G403" s="874"/>
      <c r="H403" s="875"/>
      <c r="I403" s="63">
        <f>4*51000000</f>
        <v>204000000</v>
      </c>
    </row>
    <row r="404" spans="1:11">
      <c r="A404" s="60">
        <v>4</v>
      </c>
      <c r="B404" s="61" t="s">
        <v>379</v>
      </c>
      <c r="C404" s="97"/>
      <c r="D404" s="63"/>
      <c r="E404" s="63"/>
      <c r="F404" s="873"/>
      <c r="G404" s="874"/>
      <c r="H404" s="875"/>
      <c r="I404" s="63">
        <f>N387</f>
        <v>12247040</v>
      </c>
    </row>
    <row r="405" spans="1:11">
      <c r="A405" s="60">
        <v>5</v>
      </c>
      <c r="B405" s="61" t="s">
        <v>142</v>
      </c>
      <c r="C405" s="97"/>
      <c r="D405" s="63"/>
      <c r="E405" s="63"/>
      <c r="F405" s="873">
        <f>ROUND(I405*0.09%,0)</f>
        <v>296150</v>
      </c>
      <c r="G405" s="874"/>
      <c r="H405" s="875"/>
      <c r="I405" s="63">
        <v>329056000</v>
      </c>
    </row>
    <row r="406" spans="1:11">
      <c r="A406" s="60">
        <v>6</v>
      </c>
      <c r="B406" s="61" t="s">
        <v>56</v>
      </c>
      <c r="C406" s="62"/>
      <c r="D406" s="63"/>
      <c r="E406" s="63">
        <f>C406*D406</f>
        <v>0</v>
      </c>
      <c r="F406" s="873">
        <f>ROUND(I406*0.09%,0)</f>
        <v>2422361</v>
      </c>
      <c r="G406" s="874"/>
      <c r="H406" s="875"/>
      <c r="I406" s="63">
        <v>2691512000</v>
      </c>
    </row>
    <row r="407" spans="1:11" ht="6" customHeight="1">
      <c r="A407" s="60"/>
      <c r="B407" s="115"/>
      <c r="C407" s="116"/>
      <c r="D407" s="113"/>
      <c r="E407" s="113"/>
      <c r="F407" s="167"/>
      <c r="G407" s="168"/>
      <c r="H407" s="169"/>
      <c r="I407" s="113"/>
    </row>
    <row r="408" spans="1:11">
      <c r="A408" s="70"/>
      <c r="B408" s="70" t="s">
        <v>57</v>
      </c>
      <c r="C408" s="71"/>
      <c r="D408" s="72"/>
      <c r="E408" s="72">
        <f>SUM(E401:E407)</f>
        <v>3241361526.3999996</v>
      </c>
      <c r="F408" s="870">
        <f>SUM(F401:H407)</f>
        <v>4544084</v>
      </c>
      <c r="G408" s="871"/>
      <c r="H408" s="872"/>
      <c r="I408" s="72">
        <f>SUM(I401:I407)</f>
        <v>3236815040</v>
      </c>
    </row>
    <row r="409" spans="1:11">
      <c r="A409" s="162" t="s">
        <v>303</v>
      </c>
      <c r="K409" s="122"/>
    </row>
    <row r="410" spans="1:11">
      <c r="I410" s="122"/>
    </row>
    <row r="412" spans="1:11" ht="31.5" customHeight="1">
      <c r="A412" s="73" t="s">
        <v>0</v>
      </c>
      <c r="B412" s="198" t="s">
        <v>21</v>
      </c>
      <c r="C412" s="105" t="s">
        <v>50</v>
      </c>
      <c r="D412" s="106" t="s">
        <v>51</v>
      </c>
      <c r="E412" s="106" t="s">
        <v>9</v>
      </c>
      <c r="F412" s="876" t="s">
        <v>117</v>
      </c>
      <c r="G412" s="877"/>
      <c r="H412" s="878"/>
      <c r="I412" s="106" t="s">
        <v>52</v>
      </c>
    </row>
    <row r="413" spans="1:11">
      <c r="A413" s="60">
        <v>1</v>
      </c>
      <c r="B413" s="61" t="s">
        <v>389</v>
      </c>
      <c r="C413" s="173">
        <v>294308</v>
      </c>
      <c r="D413" s="63">
        <v>22465</v>
      </c>
      <c r="E413" s="63">
        <f>C413*D413</f>
        <v>6611629220</v>
      </c>
      <c r="F413" s="192"/>
      <c r="G413" s="193"/>
      <c r="H413" s="194"/>
      <c r="I413" s="63"/>
    </row>
    <row r="414" spans="1:11">
      <c r="A414" s="60">
        <v>2</v>
      </c>
      <c r="B414" s="61" t="s">
        <v>123</v>
      </c>
      <c r="C414" s="97"/>
      <c r="D414" s="63"/>
      <c r="E414" s="63"/>
      <c r="F414" s="873">
        <f>1825573*2</f>
        <v>3651146</v>
      </c>
      <c r="G414" s="874"/>
      <c r="H414" s="875"/>
      <c r="I414" s="63"/>
    </row>
    <row r="415" spans="1:11">
      <c r="A415" s="60">
        <v>4</v>
      </c>
      <c r="B415" s="61" t="s">
        <v>391</v>
      </c>
      <c r="C415" s="97"/>
      <c r="D415" s="63"/>
      <c r="E415" s="63"/>
      <c r="F415" s="873">
        <v>1842100</v>
      </c>
      <c r="G415" s="874"/>
      <c r="H415" s="875"/>
      <c r="I415" s="63"/>
    </row>
    <row r="416" spans="1:11">
      <c r="A416" s="60">
        <v>3</v>
      </c>
      <c r="B416" s="124" t="s">
        <v>55</v>
      </c>
      <c r="C416" s="97"/>
      <c r="D416" s="63"/>
      <c r="E416" s="63"/>
      <c r="F416" s="873">
        <f t="shared" ref="F416:F417" si="122">ROUND(I416*0.09%,0)</f>
        <v>889727</v>
      </c>
      <c r="G416" s="874"/>
      <c r="H416" s="875"/>
      <c r="I416" s="63">
        <v>988585000</v>
      </c>
    </row>
    <row r="417" spans="1:14">
      <c r="A417" s="60">
        <v>4</v>
      </c>
      <c r="B417" s="61" t="s">
        <v>390</v>
      </c>
      <c r="C417" s="97"/>
      <c r="D417" s="63"/>
      <c r="E417" s="63"/>
      <c r="F417" s="873">
        <f t="shared" si="122"/>
        <v>851458</v>
      </c>
      <c r="G417" s="874"/>
      <c r="H417" s="875"/>
      <c r="I417" s="63">
        <v>946064000</v>
      </c>
    </row>
    <row r="418" spans="1:14">
      <c r="A418" s="60">
        <v>5</v>
      </c>
      <c r="B418" s="61" t="s">
        <v>56</v>
      </c>
      <c r="C418" s="62"/>
      <c r="D418" s="63"/>
      <c r="E418" s="63">
        <f>C418*D418</f>
        <v>0</v>
      </c>
      <c r="F418" s="873">
        <f>ROUND(I418*0.09%,0)</f>
        <v>4198989</v>
      </c>
      <c r="G418" s="874"/>
      <c r="H418" s="875"/>
      <c r="I418" s="63">
        <v>4665543000</v>
      </c>
    </row>
    <row r="419" spans="1:14" ht="6" customHeight="1">
      <c r="A419" s="60"/>
      <c r="B419" s="115"/>
      <c r="C419" s="116"/>
      <c r="D419" s="113"/>
      <c r="E419" s="113"/>
      <c r="F419" s="195"/>
      <c r="G419" s="196"/>
      <c r="H419" s="197"/>
      <c r="I419" s="113"/>
    </row>
    <row r="420" spans="1:14">
      <c r="A420" s="70"/>
      <c r="B420" s="70" t="s">
        <v>57</v>
      </c>
      <c r="C420" s="71"/>
      <c r="D420" s="72"/>
      <c r="E420" s="72">
        <f>SUM(E413:E419)</f>
        <v>6611629220</v>
      </c>
      <c r="F420" s="870">
        <f>SUM(F413:H419)</f>
        <v>11433420</v>
      </c>
      <c r="G420" s="871"/>
      <c r="H420" s="872"/>
      <c r="I420" s="72">
        <f>SUM(I413:I419)</f>
        <v>6600192000</v>
      </c>
    </row>
    <row r="421" spans="1:14">
      <c r="A421" s="162" t="s">
        <v>303</v>
      </c>
      <c r="K421" s="122"/>
    </row>
    <row r="422" spans="1:14">
      <c r="I422" s="122"/>
    </row>
    <row r="423" spans="1:14" ht="31.5" customHeight="1">
      <c r="A423" s="73" t="s">
        <v>0</v>
      </c>
      <c r="B423" s="205" t="s">
        <v>21</v>
      </c>
      <c r="C423" s="105" t="s">
        <v>50</v>
      </c>
      <c r="D423" s="106" t="s">
        <v>51</v>
      </c>
      <c r="E423" s="106" t="s">
        <v>9</v>
      </c>
      <c r="F423" s="876" t="s">
        <v>117</v>
      </c>
      <c r="G423" s="877"/>
      <c r="H423" s="878"/>
      <c r="I423" s="106" t="s">
        <v>52</v>
      </c>
    </row>
    <row r="424" spans="1:14">
      <c r="A424" s="60">
        <v>1</v>
      </c>
      <c r="B424" s="61" t="s">
        <v>392</v>
      </c>
      <c r="C424" s="173">
        <v>149355.4</v>
      </c>
      <c r="D424" s="63">
        <v>22520</v>
      </c>
      <c r="E424" s="63">
        <f>C424*D424</f>
        <v>3363483608</v>
      </c>
      <c r="F424" s="202"/>
      <c r="G424" s="203"/>
      <c r="H424" s="204"/>
      <c r="I424" s="63"/>
    </row>
    <row r="425" spans="1:14">
      <c r="A425" s="60">
        <v>2</v>
      </c>
      <c r="B425" s="61" t="s">
        <v>123</v>
      </c>
      <c r="C425" s="97"/>
      <c r="D425" s="63"/>
      <c r="E425" s="63"/>
      <c r="F425" s="873">
        <v>1861474</v>
      </c>
      <c r="G425" s="874"/>
      <c r="H425" s="875"/>
      <c r="I425" s="63"/>
    </row>
    <row r="426" spans="1:14">
      <c r="A426" s="60">
        <v>3</v>
      </c>
      <c r="B426" s="61" t="s">
        <v>142</v>
      </c>
      <c r="C426" s="97"/>
      <c r="D426" s="63"/>
      <c r="E426" s="63"/>
      <c r="F426" s="873">
        <f>ROUND(I426*0.07%,0)</f>
        <v>1175650</v>
      </c>
      <c r="G426" s="874"/>
      <c r="H426" s="875"/>
      <c r="I426" s="63">
        <v>1679500000</v>
      </c>
    </row>
    <row r="427" spans="1:14">
      <c r="A427" s="60">
        <v>4</v>
      </c>
      <c r="B427" s="124" t="s">
        <v>152</v>
      </c>
      <c r="C427" s="97"/>
      <c r="D427" s="63"/>
      <c r="E427" s="63"/>
      <c r="F427" s="873">
        <f>ROUND(I427*0.07%,0)</f>
        <v>1175650</v>
      </c>
      <c r="G427" s="874"/>
      <c r="H427" s="875"/>
      <c r="I427" s="63">
        <v>1679500000</v>
      </c>
    </row>
    <row r="428" spans="1:14" ht="6" customHeight="1">
      <c r="A428" s="60"/>
      <c r="B428" s="115"/>
      <c r="C428" s="116"/>
      <c r="D428" s="113"/>
      <c r="E428" s="113"/>
      <c r="F428" s="199"/>
      <c r="G428" s="200"/>
      <c r="H428" s="201"/>
      <c r="I428" s="113"/>
    </row>
    <row r="429" spans="1:14">
      <c r="A429" s="70"/>
      <c r="B429" s="70" t="s">
        <v>57</v>
      </c>
      <c r="C429" s="71"/>
      <c r="D429" s="72"/>
      <c r="E429" s="72">
        <f>SUM(E424:E428)</f>
        <v>3363483608</v>
      </c>
      <c r="F429" s="870">
        <f>SUM(F424:H428)</f>
        <v>4212774</v>
      </c>
      <c r="G429" s="871"/>
      <c r="H429" s="872"/>
      <c r="I429" s="72">
        <f>SUM(I424:I428)</f>
        <v>3359000000</v>
      </c>
    </row>
    <row r="430" spans="1:14">
      <c r="A430" s="162" t="s">
        <v>303</v>
      </c>
      <c r="K430" s="122"/>
    </row>
    <row r="431" spans="1:14" s="4" customFormat="1">
      <c r="C431" s="130"/>
      <c r="D431" s="81"/>
      <c r="E431" s="131"/>
      <c r="F431" s="4" t="s">
        <v>398</v>
      </c>
      <c r="G431" s="8"/>
      <c r="H431" s="8"/>
      <c r="I431" s="132">
        <f>E429-F429-I429</f>
        <v>270834</v>
      </c>
      <c r="J431" s="8"/>
      <c r="K431" s="8"/>
      <c r="L431" s="8"/>
      <c r="M431" s="8"/>
      <c r="N431" s="8"/>
    </row>
    <row r="433" spans="1:11" ht="31.5" customHeight="1">
      <c r="A433" s="73" t="s">
        <v>0</v>
      </c>
      <c r="B433" s="212" t="s">
        <v>21</v>
      </c>
      <c r="C433" s="105" t="s">
        <v>50</v>
      </c>
      <c r="D433" s="106" t="s">
        <v>51</v>
      </c>
      <c r="E433" s="106" t="s">
        <v>9</v>
      </c>
      <c r="F433" s="876" t="s">
        <v>117</v>
      </c>
      <c r="G433" s="877"/>
      <c r="H433" s="878"/>
      <c r="I433" s="106" t="s">
        <v>52</v>
      </c>
    </row>
    <row r="434" spans="1:11">
      <c r="A434" s="60">
        <v>1</v>
      </c>
      <c r="B434" s="61" t="s">
        <v>393</v>
      </c>
      <c r="C434" s="173">
        <v>277610.8</v>
      </c>
      <c r="D434" s="63">
        <v>22520</v>
      </c>
      <c r="E434" s="63">
        <f>C434*D434</f>
        <v>6251795216</v>
      </c>
      <c r="F434" s="206"/>
      <c r="G434" s="207"/>
      <c r="H434" s="208"/>
      <c r="I434" s="63"/>
    </row>
    <row r="435" spans="1:11">
      <c r="A435" s="60">
        <v>2</v>
      </c>
      <c r="B435" s="61" t="s">
        <v>123</v>
      </c>
      <c r="C435" s="97"/>
      <c r="D435" s="63"/>
      <c r="E435" s="63"/>
      <c r="F435" s="873">
        <v>2899200</v>
      </c>
      <c r="G435" s="874"/>
      <c r="H435" s="875"/>
      <c r="I435" s="63"/>
    </row>
    <row r="436" spans="1:11">
      <c r="A436" s="60">
        <v>3</v>
      </c>
      <c r="B436" s="61" t="s">
        <v>394</v>
      </c>
      <c r="C436" s="97"/>
      <c r="D436" s="63"/>
      <c r="E436" s="63"/>
      <c r="F436" s="873">
        <f>ROUND(I436*0.09%,0)</f>
        <v>1339135</v>
      </c>
      <c r="G436" s="874"/>
      <c r="H436" s="875"/>
      <c r="I436" s="63">
        <v>1487928000</v>
      </c>
    </row>
    <row r="437" spans="1:11">
      <c r="A437" s="60">
        <v>4</v>
      </c>
      <c r="B437" s="61" t="s">
        <v>395</v>
      </c>
      <c r="C437" s="97"/>
      <c r="D437" s="63"/>
      <c r="E437" s="63"/>
      <c r="F437" s="873">
        <f t="shared" ref="F437:F439" si="123">ROUND(I437*0.09%,0)</f>
        <v>1367145</v>
      </c>
      <c r="G437" s="874"/>
      <c r="H437" s="875"/>
      <c r="I437" s="63">
        <v>1519050000</v>
      </c>
    </row>
    <row r="438" spans="1:11">
      <c r="A438" s="60">
        <v>5</v>
      </c>
      <c r="B438" s="61" t="s">
        <v>396</v>
      </c>
      <c r="C438" s="97"/>
      <c r="D438" s="63"/>
      <c r="E438" s="63"/>
      <c r="F438" s="873">
        <f t="shared" si="123"/>
        <v>1360476</v>
      </c>
      <c r="G438" s="874"/>
      <c r="H438" s="875"/>
      <c r="I438" s="63">
        <v>1511640000</v>
      </c>
    </row>
    <row r="439" spans="1:11">
      <c r="A439" s="60">
        <v>6</v>
      </c>
      <c r="B439" s="61" t="s">
        <v>397</v>
      </c>
      <c r="C439" s="97"/>
      <c r="D439" s="63"/>
      <c r="E439" s="63"/>
      <c r="F439" s="873">
        <f t="shared" si="123"/>
        <v>1348542</v>
      </c>
      <c r="G439" s="874"/>
      <c r="H439" s="875"/>
      <c r="I439" s="63">
        <v>1498380000</v>
      </c>
    </row>
    <row r="440" spans="1:11">
      <c r="A440" s="60">
        <v>7</v>
      </c>
      <c r="B440" s="124"/>
      <c r="C440" s="97"/>
      <c r="D440" s="63"/>
      <c r="E440" s="63"/>
      <c r="F440" s="873">
        <f>ROUND(I440*0.06%,0)</f>
        <v>0</v>
      </c>
      <c r="G440" s="874"/>
      <c r="H440" s="875"/>
      <c r="I440" s="63"/>
    </row>
    <row r="441" spans="1:11" ht="6" customHeight="1">
      <c r="A441" s="60"/>
      <c r="B441" s="115"/>
      <c r="C441" s="116"/>
      <c r="D441" s="113"/>
      <c r="E441" s="113"/>
      <c r="F441" s="209"/>
      <c r="G441" s="210"/>
      <c r="H441" s="211"/>
      <c r="I441" s="113"/>
    </row>
    <row r="442" spans="1:11">
      <c r="A442" s="70"/>
      <c r="B442" s="70" t="s">
        <v>57</v>
      </c>
      <c r="C442" s="71"/>
      <c r="D442" s="72"/>
      <c r="E442" s="72">
        <f>SUM(E434:E441)</f>
        <v>6251795216</v>
      </c>
      <c r="F442" s="870">
        <f>SUM(F434:H441)</f>
        <v>8314498</v>
      </c>
      <c r="G442" s="871"/>
      <c r="H442" s="872"/>
      <c r="I442" s="72">
        <f>SUM(I434:I441)</f>
        <v>6016998000</v>
      </c>
    </row>
    <row r="443" spans="1:11">
      <c r="A443" s="162" t="s">
        <v>303</v>
      </c>
      <c r="K443" s="122"/>
    </row>
    <row r="444" spans="1:11">
      <c r="F444" s="4" t="s">
        <v>398</v>
      </c>
      <c r="I444" s="132">
        <f>E442-F442-I442</f>
        <v>226482718</v>
      </c>
    </row>
    <row r="446" spans="1:11" ht="31.5" customHeight="1">
      <c r="A446" s="73" t="s">
        <v>0</v>
      </c>
      <c r="B446" s="219" t="s">
        <v>21</v>
      </c>
      <c r="C446" s="105" t="s">
        <v>50</v>
      </c>
      <c r="D446" s="106" t="s">
        <v>51</v>
      </c>
      <c r="E446" s="106" t="s">
        <v>9</v>
      </c>
      <c r="F446" s="876" t="s">
        <v>117</v>
      </c>
      <c r="G446" s="877"/>
      <c r="H446" s="878"/>
      <c r="I446" s="106" t="s">
        <v>52</v>
      </c>
    </row>
    <row r="447" spans="1:11">
      <c r="A447" s="60">
        <v>1</v>
      </c>
      <c r="B447" s="61" t="s">
        <v>399</v>
      </c>
      <c r="C447" s="173">
        <v>441468</v>
      </c>
      <c r="D447" s="63">
        <v>22570</v>
      </c>
      <c r="E447" s="63">
        <f>C447*D447</f>
        <v>9963932760</v>
      </c>
      <c r="F447" s="213"/>
      <c r="G447" s="214"/>
      <c r="H447" s="215"/>
      <c r="I447" s="63"/>
    </row>
    <row r="448" spans="1:11">
      <c r="A448" s="60">
        <v>2</v>
      </c>
      <c r="B448" s="61" t="s">
        <v>123</v>
      </c>
      <c r="C448" s="97"/>
      <c r="D448" s="63"/>
      <c r="E448" s="63"/>
      <c r="F448" s="873">
        <v>3250000</v>
      </c>
      <c r="G448" s="874"/>
      <c r="H448" s="875"/>
      <c r="I448" s="63"/>
    </row>
    <row r="449" spans="1:11">
      <c r="A449" s="60">
        <v>3</v>
      </c>
      <c r="B449" s="61" t="s">
        <v>403</v>
      </c>
      <c r="C449" s="97"/>
      <c r="D449" s="63"/>
      <c r="E449" s="63">
        <v>270834</v>
      </c>
      <c r="F449" s="873"/>
      <c r="G449" s="874"/>
      <c r="H449" s="875"/>
      <c r="I449" s="63"/>
    </row>
    <row r="450" spans="1:11">
      <c r="A450" s="60">
        <v>3</v>
      </c>
      <c r="B450" s="61" t="s">
        <v>402</v>
      </c>
      <c r="C450" s="97"/>
      <c r="D450" s="63"/>
      <c r="E450" s="63">
        <v>226482718</v>
      </c>
      <c r="F450" s="873"/>
      <c r="G450" s="874"/>
      <c r="H450" s="875"/>
      <c r="I450" s="63"/>
    </row>
    <row r="451" spans="1:11">
      <c r="A451" s="60">
        <v>4</v>
      </c>
      <c r="B451" s="61" t="s">
        <v>131</v>
      </c>
      <c r="C451" s="97"/>
      <c r="D451" s="63"/>
      <c r="E451" s="63"/>
      <c r="F451" s="873">
        <v>1100000</v>
      </c>
      <c r="G451" s="874"/>
      <c r="H451" s="875"/>
      <c r="I451" s="63">
        <v>1697000000</v>
      </c>
    </row>
    <row r="452" spans="1:11">
      <c r="A452" s="60">
        <v>5</v>
      </c>
      <c r="B452" s="61" t="s">
        <v>396</v>
      </c>
      <c r="C452" s="97"/>
      <c r="D452" s="63"/>
      <c r="E452" s="63"/>
      <c r="F452" s="873">
        <v>1100000</v>
      </c>
      <c r="G452" s="874"/>
      <c r="H452" s="875"/>
      <c r="I452" s="63">
        <v>1697000000</v>
      </c>
    </row>
    <row r="453" spans="1:11">
      <c r="A453" s="60">
        <v>6</v>
      </c>
      <c r="B453" s="61" t="s">
        <v>395</v>
      </c>
      <c r="C453" s="97"/>
      <c r="D453" s="63"/>
      <c r="E453" s="63"/>
      <c r="F453" s="873">
        <v>1100000</v>
      </c>
      <c r="G453" s="874"/>
      <c r="H453" s="875"/>
      <c r="I453" s="63">
        <v>1696000000</v>
      </c>
    </row>
    <row r="454" spans="1:11">
      <c r="A454" s="60">
        <v>7</v>
      </c>
      <c r="B454" s="61" t="s">
        <v>400</v>
      </c>
      <c r="C454" s="97"/>
      <c r="D454" s="63"/>
      <c r="E454" s="63"/>
      <c r="F454" s="873">
        <v>1100000</v>
      </c>
      <c r="G454" s="874"/>
      <c r="H454" s="875"/>
      <c r="I454" s="63">
        <v>1696000000</v>
      </c>
    </row>
    <row r="455" spans="1:11">
      <c r="A455" s="60">
        <v>8</v>
      </c>
      <c r="B455" s="124" t="s">
        <v>401</v>
      </c>
      <c r="C455" s="97"/>
      <c r="D455" s="63"/>
      <c r="E455" s="63"/>
      <c r="F455" s="873">
        <v>1100000</v>
      </c>
      <c r="G455" s="874"/>
      <c r="H455" s="875"/>
      <c r="I455" s="63">
        <v>1696000000</v>
      </c>
    </row>
    <row r="456" spans="1:11">
      <c r="A456" s="60">
        <v>9</v>
      </c>
      <c r="B456" s="220" t="s">
        <v>394</v>
      </c>
      <c r="C456" s="221"/>
      <c r="D456" s="113"/>
      <c r="E456" s="113"/>
      <c r="F456" s="873">
        <v>1100000</v>
      </c>
      <c r="G456" s="874"/>
      <c r="H456" s="875"/>
      <c r="I456" s="63">
        <v>1696000000</v>
      </c>
    </row>
    <row r="457" spans="1:11">
      <c r="A457" s="60">
        <v>10</v>
      </c>
      <c r="B457" s="220"/>
      <c r="C457" s="221"/>
      <c r="D457" s="113"/>
      <c r="E457" s="113"/>
      <c r="F457" s="873">
        <f t="shared" ref="F457" si="124">ROUND(I457*0.06%,0)</f>
        <v>0</v>
      </c>
      <c r="G457" s="874"/>
      <c r="H457" s="875"/>
      <c r="I457" s="113"/>
    </row>
    <row r="458" spans="1:11" ht="6" customHeight="1">
      <c r="A458" s="60"/>
      <c r="B458" s="115"/>
      <c r="C458" s="116"/>
      <c r="D458" s="113"/>
      <c r="E458" s="113"/>
      <c r="F458" s="216"/>
      <c r="G458" s="217"/>
      <c r="H458" s="218"/>
      <c r="I458" s="113"/>
    </row>
    <row r="459" spans="1:11">
      <c r="A459" s="70"/>
      <c r="B459" s="70" t="s">
        <v>57</v>
      </c>
      <c r="C459" s="71"/>
      <c r="D459" s="72"/>
      <c r="E459" s="72">
        <f>SUM(E447:E458)</f>
        <v>10190686312</v>
      </c>
      <c r="F459" s="870">
        <f>SUM(F447:H458)</f>
        <v>9850000</v>
      </c>
      <c r="G459" s="871"/>
      <c r="H459" s="872"/>
      <c r="I459" s="72">
        <f>SUM(I447:I458)</f>
        <v>10178000000</v>
      </c>
    </row>
    <row r="460" spans="1:11">
      <c r="A460" s="162" t="s">
        <v>303</v>
      </c>
      <c r="K460" s="122"/>
    </row>
    <row r="461" spans="1:11">
      <c r="F461" s="4" t="s">
        <v>398</v>
      </c>
      <c r="I461" s="132">
        <f>E459-F459-I459</f>
        <v>2836312</v>
      </c>
    </row>
    <row r="463" spans="1:11" ht="31.5" customHeight="1">
      <c r="A463" s="73" t="s">
        <v>0</v>
      </c>
      <c r="B463" s="225" t="s">
        <v>21</v>
      </c>
      <c r="C463" s="105" t="s">
        <v>50</v>
      </c>
      <c r="D463" s="106" t="s">
        <v>51</v>
      </c>
      <c r="E463" s="106" t="s">
        <v>9</v>
      </c>
      <c r="F463" s="876" t="s">
        <v>117</v>
      </c>
      <c r="G463" s="877"/>
      <c r="H463" s="878"/>
      <c r="I463" s="106" t="s">
        <v>52</v>
      </c>
    </row>
    <row r="464" spans="1:11">
      <c r="A464" s="60">
        <v>1</v>
      </c>
      <c r="B464" s="61" t="s">
        <v>405</v>
      </c>
      <c r="C464" s="173">
        <v>447980.2</v>
      </c>
      <c r="D464" s="63">
        <v>22620</v>
      </c>
      <c r="E464" s="63">
        <f>C464*D464</f>
        <v>10133312124</v>
      </c>
      <c r="F464" s="226"/>
      <c r="G464" s="227"/>
      <c r="H464" s="228"/>
      <c r="I464" s="63"/>
    </row>
    <row r="465" spans="1:11">
      <c r="A465" s="60">
        <v>2</v>
      </c>
      <c r="B465" s="61" t="s">
        <v>404</v>
      </c>
      <c r="C465" s="97"/>
      <c r="D465" s="63"/>
      <c r="E465" s="63">
        <v>2836312</v>
      </c>
      <c r="F465" s="873"/>
      <c r="G465" s="874"/>
      <c r="H465" s="875"/>
      <c r="I465" s="63"/>
    </row>
    <row r="466" spans="1:11">
      <c r="A466" s="60">
        <v>3</v>
      </c>
      <c r="B466" s="61" t="s">
        <v>396</v>
      </c>
      <c r="C466" s="97"/>
      <c r="D466" s="63"/>
      <c r="E466" s="63"/>
      <c r="F466" s="873">
        <v>1100000</v>
      </c>
      <c r="G466" s="874"/>
      <c r="H466" s="875"/>
      <c r="I466" s="63">
        <v>2110891000</v>
      </c>
    </row>
    <row r="467" spans="1:11">
      <c r="A467" s="60">
        <v>4</v>
      </c>
      <c r="B467" s="61" t="s">
        <v>395</v>
      </c>
      <c r="C467" s="97"/>
      <c r="D467" s="63"/>
      <c r="E467" s="63"/>
      <c r="F467" s="873">
        <v>1100000</v>
      </c>
      <c r="G467" s="874"/>
      <c r="H467" s="875"/>
      <c r="I467" s="63">
        <v>1238708500</v>
      </c>
    </row>
    <row r="468" spans="1:11">
      <c r="A468" s="60">
        <v>5</v>
      </c>
      <c r="B468" s="61" t="s">
        <v>131</v>
      </c>
      <c r="C468" s="97"/>
      <c r="D468" s="63"/>
      <c r="E468" s="63"/>
      <c r="F468" s="873">
        <v>1100000</v>
      </c>
      <c r="G468" s="874"/>
      <c r="H468" s="875"/>
      <c r="I468" s="63">
        <v>1473180000</v>
      </c>
    </row>
    <row r="469" spans="1:11">
      <c r="A469" s="60">
        <v>6</v>
      </c>
      <c r="B469" s="61" t="s">
        <v>406</v>
      </c>
      <c r="C469" s="97"/>
      <c r="D469" s="63"/>
      <c r="E469" s="63"/>
      <c r="F469" s="873">
        <v>1100000</v>
      </c>
      <c r="G469" s="874"/>
      <c r="H469" s="875"/>
      <c r="I469" s="63">
        <v>1552320000</v>
      </c>
    </row>
    <row r="470" spans="1:11">
      <c r="A470" s="60">
        <v>7</v>
      </c>
      <c r="B470" s="61" t="s">
        <v>400</v>
      </c>
      <c r="C470" s="97"/>
      <c r="D470" s="63"/>
      <c r="E470" s="63"/>
      <c r="F470" s="873">
        <v>1100000</v>
      </c>
      <c r="G470" s="874"/>
      <c r="H470" s="875"/>
      <c r="I470" s="63">
        <v>1329812000</v>
      </c>
    </row>
    <row r="471" spans="1:11">
      <c r="A471" s="60">
        <v>8</v>
      </c>
      <c r="B471" s="220" t="s">
        <v>394</v>
      </c>
      <c r="C471" s="221"/>
      <c r="D471" s="113"/>
      <c r="E471" s="113"/>
      <c r="F471" s="873">
        <v>1100000</v>
      </c>
      <c r="G471" s="874"/>
      <c r="H471" s="875"/>
      <c r="I471" s="63">
        <v>2251300000</v>
      </c>
    </row>
    <row r="472" spans="1:11">
      <c r="A472" s="60"/>
      <c r="B472" s="220"/>
      <c r="C472" s="221"/>
      <c r="D472" s="113"/>
      <c r="E472" s="113"/>
      <c r="F472" s="873">
        <f t="shared" ref="F472" si="125">ROUND(I472*0.06%,0)</f>
        <v>0</v>
      </c>
      <c r="G472" s="874"/>
      <c r="H472" s="875"/>
      <c r="I472" s="113"/>
    </row>
    <row r="473" spans="1:11" ht="6" customHeight="1">
      <c r="A473" s="60"/>
      <c r="B473" s="115"/>
      <c r="C473" s="116"/>
      <c r="D473" s="113"/>
      <c r="E473" s="113"/>
      <c r="F473" s="222"/>
      <c r="G473" s="223"/>
      <c r="H473" s="224"/>
      <c r="I473" s="113"/>
    </row>
    <row r="474" spans="1:11">
      <c r="A474" s="70"/>
      <c r="B474" s="70" t="s">
        <v>57</v>
      </c>
      <c r="C474" s="71"/>
      <c r="D474" s="72"/>
      <c r="E474" s="72">
        <f>SUM(E464:E473)</f>
        <v>10136148436</v>
      </c>
      <c r="F474" s="870">
        <f>SUM(F464:H473)</f>
        <v>6600000</v>
      </c>
      <c r="G474" s="871"/>
      <c r="H474" s="872"/>
      <c r="I474" s="72">
        <f>SUM(I464:I473)</f>
        <v>9956211500</v>
      </c>
    </row>
    <row r="475" spans="1:11">
      <c r="A475" s="162" t="s">
        <v>303</v>
      </c>
      <c r="K475" s="122"/>
    </row>
    <row r="476" spans="1:11">
      <c r="F476" s="4" t="s">
        <v>398</v>
      </c>
      <c r="I476" s="132">
        <f>E474-F474-I474</f>
        <v>173336936</v>
      </c>
    </row>
    <row r="478" spans="1:11" ht="31.5" customHeight="1">
      <c r="A478" s="73" t="s">
        <v>0</v>
      </c>
      <c r="B478" s="232" t="s">
        <v>21</v>
      </c>
      <c r="C478" s="105" t="s">
        <v>50</v>
      </c>
      <c r="D478" s="106" t="s">
        <v>51</v>
      </c>
      <c r="E478" s="106" t="s">
        <v>9</v>
      </c>
      <c r="F478" s="876" t="s">
        <v>117</v>
      </c>
      <c r="G478" s="877"/>
      <c r="H478" s="878"/>
      <c r="I478" s="106" t="s">
        <v>52</v>
      </c>
    </row>
    <row r="479" spans="1:11">
      <c r="A479" s="60">
        <v>1</v>
      </c>
      <c r="B479" s="61" t="s">
        <v>407</v>
      </c>
      <c r="C479" s="173">
        <v>450229.68</v>
      </c>
      <c r="D479" s="63">
        <v>22620</v>
      </c>
      <c r="E479" s="63">
        <f>C479*D479</f>
        <v>10184195361.6</v>
      </c>
      <c r="F479" s="233"/>
      <c r="G479" s="234"/>
      <c r="H479" s="235"/>
      <c r="I479" s="63"/>
    </row>
    <row r="480" spans="1:11">
      <c r="A480" s="60">
        <v>2</v>
      </c>
      <c r="B480" s="61" t="s">
        <v>123</v>
      </c>
      <c r="C480" s="97"/>
      <c r="D480" s="63"/>
      <c r="E480" s="63"/>
      <c r="F480" s="873">
        <v>2514600</v>
      </c>
      <c r="G480" s="874"/>
      <c r="H480" s="875"/>
      <c r="I480" s="63"/>
    </row>
    <row r="481" spans="1:11">
      <c r="A481" s="60">
        <v>3</v>
      </c>
      <c r="B481" s="61" t="s">
        <v>408</v>
      </c>
      <c r="C481" s="97"/>
      <c r="D481" s="63"/>
      <c r="E481" s="63">
        <f>I476</f>
        <v>173336936</v>
      </c>
      <c r="F481" s="873"/>
      <c r="G481" s="874"/>
      <c r="H481" s="875"/>
      <c r="I481" s="63"/>
    </row>
    <row r="482" spans="1:11">
      <c r="A482" s="60">
        <v>4</v>
      </c>
      <c r="B482" s="61" t="s">
        <v>396</v>
      </c>
      <c r="C482" s="97"/>
      <c r="D482" s="63"/>
      <c r="E482" s="63"/>
      <c r="F482" s="873">
        <v>1100000</v>
      </c>
      <c r="G482" s="874"/>
      <c r="H482" s="875"/>
      <c r="I482" s="63">
        <v>2809419000</v>
      </c>
    </row>
    <row r="483" spans="1:11">
      <c r="A483" s="60">
        <v>5</v>
      </c>
      <c r="B483" s="61" t="s">
        <v>395</v>
      </c>
      <c r="C483" s="97"/>
      <c r="D483" s="63"/>
      <c r="E483" s="63"/>
      <c r="F483" s="873">
        <v>550000</v>
      </c>
      <c r="G483" s="874"/>
      <c r="H483" s="875"/>
      <c r="I483" s="63">
        <v>1000000000</v>
      </c>
    </row>
    <row r="484" spans="1:11">
      <c r="A484" s="60">
        <v>6</v>
      </c>
      <c r="B484" s="61" t="s">
        <v>400</v>
      </c>
      <c r="C484" s="97"/>
      <c r="D484" s="63"/>
      <c r="E484" s="63"/>
      <c r="F484" s="873">
        <v>825000</v>
      </c>
      <c r="G484" s="874"/>
      <c r="H484" s="875"/>
      <c r="I484" s="63">
        <v>1500000000</v>
      </c>
    </row>
    <row r="485" spans="1:11">
      <c r="A485" s="60">
        <v>7</v>
      </c>
      <c r="B485" s="220" t="s">
        <v>394</v>
      </c>
      <c r="C485" s="97"/>
      <c r="D485" s="63"/>
      <c r="E485" s="63"/>
      <c r="F485" s="873">
        <v>1100000</v>
      </c>
      <c r="G485" s="874"/>
      <c r="H485" s="875"/>
      <c r="I485" s="63">
        <v>4443756000</v>
      </c>
    </row>
    <row r="486" spans="1:11">
      <c r="A486" s="60">
        <v>8</v>
      </c>
      <c r="B486" s="61" t="s">
        <v>56</v>
      </c>
      <c r="C486" s="97"/>
      <c r="D486" s="63"/>
      <c r="E486" s="63"/>
      <c r="F486" s="873">
        <v>324500</v>
      </c>
      <c r="G486" s="874"/>
      <c r="H486" s="875"/>
      <c r="I486" s="63">
        <v>590000000</v>
      </c>
    </row>
    <row r="487" spans="1:11">
      <c r="A487" s="60"/>
      <c r="B487" s="220"/>
      <c r="C487" s="221"/>
      <c r="D487" s="113"/>
      <c r="E487" s="113"/>
      <c r="F487" s="873">
        <f t="shared" ref="F487" si="126">ROUND(I487*0.06%,0)</f>
        <v>0</v>
      </c>
      <c r="G487" s="874"/>
      <c r="H487" s="875"/>
      <c r="I487" s="113"/>
    </row>
    <row r="488" spans="1:11" ht="6" customHeight="1">
      <c r="A488" s="60"/>
      <c r="B488" s="115"/>
      <c r="C488" s="116"/>
      <c r="D488" s="113"/>
      <c r="E488" s="113"/>
      <c r="F488" s="229"/>
      <c r="G488" s="230"/>
      <c r="H488" s="231"/>
      <c r="I488" s="113"/>
    </row>
    <row r="489" spans="1:11">
      <c r="A489" s="70"/>
      <c r="B489" s="70" t="s">
        <v>57</v>
      </c>
      <c r="C489" s="71"/>
      <c r="D489" s="72"/>
      <c r="E489" s="72">
        <f>SUM(E479:E488)</f>
        <v>10357532297.6</v>
      </c>
      <c r="F489" s="870">
        <f>SUM(F479:H488)</f>
        <v>6414100</v>
      </c>
      <c r="G489" s="871"/>
      <c r="H489" s="872"/>
      <c r="I489" s="72">
        <f>SUM(I479:I488)</f>
        <v>10343175000</v>
      </c>
    </row>
    <row r="490" spans="1:11">
      <c r="A490" s="162" t="s">
        <v>303</v>
      </c>
      <c r="K490" s="122"/>
    </row>
    <row r="491" spans="1:11">
      <c r="F491" s="4" t="s">
        <v>398</v>
      </c>
      <c r="I491" s="132">
        <f>E489-F489-I489</f>
        <v>7943197.6000003815</v>
      </c>
    </row>
    <row r="492" spans="1:11">
      <c r="I492" s="265"/>
    </row>
    <row r="493" spans="1:11" ht="31.5" customHeight="1">
      <c r="A493" s="73" t="s">
        <v>0</v>
      </c>
      <c r="B493" s="275" t="s">
        <v>21</v>
      </c>
      <c r="C493" s="105" t="s">
        <v>50</v>
      </c>
      <c r="D493" s="106" t="s">
        <v>51</v>
      </c>
      <c r="E493" s="106" t="s">
        <v>9</v>
      </c>
      <c r="F493" s="876" t="s">
        <v>117</v>
      </c>
      <c r="G493" s="877"/>
      <c r="H493" s="878"/>
      <c r="I493" s="106" t="s">
        <v>52</v>
      </c>
    </row>
    <row r="494" spans="1:11">
      <c r="A494" s="60">
        <v>1</v>
      </c>
      <c r="B494" s="61" t="s">
        <v>412</v>
      </c>
      <c r="C494" s="173">
        <v>448090.2</v>
      </c>
      <c r="D494" s="63">
        <v>22650</v>
      </c>
      <c r="E494" s="63">
        <f>C494*D494</f>
        <v>10149243030</v>
      </c>
      <c r="F494" s="269"/>
      <c r="G494" s="270"/>
      <c r="H494" s="271"/>
      <c r="I494" s="63"/>
    </row>
    <row r="495" spans="1:11">
      <c r="A495" s="60">
        <v>2</v>
      </c>
      <c r="B495" s="61" t="s">
        <v>123</v>
      </c>
      <c r="C495" s="97"/>
      <c r="D495" s="63"/>
      <c r="E495" s="63"/>
      <c r="F495" s="873">
        <v>2514600</v>
      </c>
      <c r="G495" s="874"/>
      <c r="H495" s="875"/>
      <c r="I495" s="63"/>
    </row>
    <row r="496" spans="1:11">
      <c r="A496" s="60">
        <v>3</v>
      </c>
      <c r="B496" s="61" t="s">
        <v>413</v>
      </c>
      <c r="C496" s="97"/>
      <c r="D496" s="63"/>
      <c r="E496" s="63">
        <f>I491</f>
        <v>7943197.6000003815</v>
      </c>
      <c r="F496" s="873"/>
      <c r="G496" s="874"/>
      <c r="H496" s="875"/>
      <c r="I496" s="63"/>
    </row>
    <row r="497" spans="1:11">
      <c r="A497" s="60">
        <v>4</v>
      </c>
      <c r="B497" s="61" t="s">
        <v>414</v>
      </c>
      <c r="C497" s="97"/>
      <c r="D497" s="63"/>
      <c r="E497" s="63">
        <v>500000000</v>
      </c>
      <c r="F497" s="266"/>
      <c r="G497" s="267"/>
      <c r="H497" s="268"/>
      <c r="I497" s="63"/>
    </row>
    <row r="498" spans="1:11">
      <c r="A498" s="60">
        <v>5</v>
      </c>
      <c r="B498" s="61" t="s">
        <v>397</v>
      </c>
      <c r="C498" s="97"/>
      <c r="D498" s="63"/>
      <c r="E498" s="63"/>
      <c r="F498" s="873">
        <f>ROUND(IF(I498*0.07%&gt;1100000,1100000,I498*0.07%),0)</f>
        <v>1100000</v>
      </c>
      <c r="G498" s="874"/>
      <c r="H498" s="875"/>
      <c r="I498" s="63">
        <v>1950000000</v>
      </c>
    </row>
    <row r="499" spans="1:11">
      <c r="A499" s="60">
        <v>6</v>
      </c>
      <c r="B499" s="61" t="s">
        <v>395</v>
      </c>
      <c r="C499" s="97"/>
      <c r="D499" s="63"/>
      <c r="E499" s="63"/>
      <c r="F499" s="873">
        <v>770000</v>
      </c>
      <c r="G499" s="874"/>
      <c r="H499" s="875"/>
      <c r="I499" s="63">
        <v>1000000000</v>
      </c>
    </row>
    <row r="500" spans="1:11">
      <c r="A500" s="60">
        <v>7</v>
      </c>
      <c r="B500" s="61" t="s">
        <v>400</v>
      </c>
      <c r="C500" s="97"/>
      <c r="D500" s="63"/>
      <c r="E500" s="63"/>
      <c r="F500" s="873">
        <v>1100000</v>
      </c>
      <c r="G500" s="874"/>
      <c r="H500" s="875"/>
      <c r="I500" s="63">
        <v>1500000000</v>
      </c>
    </row>
    <row r="501" spans="1:11">
      <c r="A501" s="60">
        <v>8</v>
      </c>
      <c r="B501" s="220" t="s">
        <v>394</v>
      </c>
      <c r="C501" s="97"/>
      <c r="D501" s="63"/>
      <c r="E501" s="63"/>
      <c r="F501" s="873">
        <f t="shared" ref="F501:F503" si="127">ROUND(IF(I501*0.07%&gt;1100000,1100000,I501*0.07%),0)</f>
        <v>1100000</v>
      </c>
      <c r="G501" s="874"/>
      <c r="H501" s="875"/>
      <c r="I501" s="63">
        <v>1955000000</v>
      </c>
    </row>
    <row r="502" spans="1:11">
      <c r="A502" s="60">
        <v>8</v>
      </c>
      <c r="B502" s="124" t="s">
        <v>55</v>
      </c>
      <c r="C502" s="97"/>
      <c r="D502" s="63"/>
      <c r="E502" s="63"/>
      <c r="F502" s="873">
        <f t="shared" si="127"/>
        <v>1100000</v>
      </c>
      <c r="G502" s="874"/>
      <c r="H502" s="875"/>
      <c r="I502" s="63">
        <v>2245072000</v>
      </c>
    </row>
    <row r="503" spans="1:11">
      <c r="A503" s="60">
        <v>9</v>
      </c>
      <c r="B503" s="61" t="s">
        <v>56</v>
      </c>
      <c r="C503" s="97"/>
      <c r="D503" s="63"/>
      <c r="E503" s="63"/>
      <c r="F503" s="873">
        <f t="shared" si="127"/>
        <v>1100000</v>
      </c>
      <c r="G503" s="874"/>
      <c r="H503" s="875"/>
      <c r="I503" s="63">
        <v>1998400000</v>
      </c>
    </row>
    <row r="504" spans="1:11">
      <c r="A504" s="60"/>
      <c r="B504" s="220"/>
      <c r="C504" s="221"/>
      <c r="D504" s="113"/>
      <c r="E504" s="113"/>
      <c r="F504" s="873"/>
      <c r="G504" s="874"/>
      <c r="H504" s="875"/>
      <c r="I504" s="113"/>
    </row>
    <row r="505" spans="1:11" ht="6" customHeight="1">
      <c r="A505" s="60"/>
      <c r="B505" s="115"/>
      <c r="C505" s="116"/>
      <c r="D505" s="113"/>
      <c r="E505" s="113"/>
      <c r="F505" s="272"/>
      <c r="G505" s="273"/>
      <c r="H505" s="274"/>
      <c r="I505" s="113"/>
    </row>
    <row r="506" spans="1:11">
      <c r="A506" s="70"/>
      <c r="B506" s="70" t="s">
        <v>57</v>
      </c>
      <c r="C506" s="71"/>
      <c r="D506" s="72"/>
      <c r="E506" s="72">
        <f>SUM(E494:E505)</f>
        <v>10657186227.6</v>
      </c>
      <c r="F506" s="870">
        <f>SUM(F494:H505)</f>
        <v>8784600</v>
      </c>
      <c r="G506" s="871"/>
      <c r="H506" s="872"/>
      <c r="I506" s="72">
        <f>SUM(I494:I505)</f>
        <v>10648472000</v>
      </c>
    </row>
    <row r="507" spans="1:11">
      <c r="A507" s="162"/>
      <c r="K507" s="122"/>
    </row>
    <row r="508" spans="1:11">
      <c r="F508" s="4" t="s">
        <v>398</v>
      </c>
      <c r="I508" s="132">
        <f>E506-F506-I506</f>
        <v>-70372.39999961853</v>
      </c>
    </row>
    <row r="522" spans="1:5" ht="33">
      <c r="A522" s="83" t="s">
        <v>0</v>
      </c>
      <c r="B522" s="83" t="s">
        <v>21</v>
      </c>
      <c r="C522" s="95" t="s">
        <v>7</v>
      </c>
      <c r="D522" s="84" t="s">
        <v>8</v>
      </c>
      <c r="E522" s="49" t="s">
        <v>9</v>
      </c>
    </row>
    <row r="523" spans="1:5">
      <c r="A523" s="60">
        <v>1</v>
      </c>
      <c r="B523" s="51" t="s">
        <v>35</v>
      </c>
      <c r="C523" s="96">
        <f>52780/2</f>
        <v>26390</v>
      </c>
      <c r="D523" s="53">
        <v>300</v>
      </c>
      <c r="E523" s="101">
        <f t="shared" ref="E523:E526" si="128">C523*D523</f>
        <v>7917000</v>
      </c>
    </row>
    <row r="524" spans="1:5">
      <c r="A524" s="60">
        <v>2</v>
      </c>
      <c r="B524" s="61" t="s">
        <v>37</v>
      </c>
      <c r="C524" s="97">
        <v>1</v>
      </c>
      <c r="D524" s="63">
        <v>2000000</v>
      </c>
      <c r="E524" s="102">
        <f t="shared" si="128"/>
        <v>2000000</v>
      </c>
    </row>
    <row r="525" spans="1:5">
      <c r="A525" s="60">
        <v>3</v>
      </c>
      <c r="B525" s="61" t="s">
        <v>38</v>
      </c>
      <c r="C525" s="97">
        <v>1</v>
      </c>
      <c r="D525" s="63">
        <v>2000000</v>
      </c>
      <c r="E525" s="102">
        <f t="shared" si="128"/>
        <v>2000000</v>
      </c>
    </row>
    <row r="526" spans="1:5">
      <c r="A526" s="60">
        <v>4</v>
      </c>
      <c r="B526" s="61" t="s">
        <v>39</v>
      </c>
      <c r="C526" s="97">
        <v>1</v>
      </c>
      <c r="D526" s="63">
        <v>600000</v>
      </c>
      <c r="E526" s="102">
        <f t="shared" si="128"/>
        <v>600000</v>
      </c>
    </row>
    <row r="527" spans="1:5">
      <c r="A527" s="60">
        <v>5</v>
      </c>
      <c r="B527" s="61" t="s">
        <v>75</v>
      </c>
      <c r="C527" s="97">
        <v>1</v>
      </c>
      <c r="D527" s="63">
        <v>16725000</v>
      </c>
      <c r="E527" s="102">
        <f>C527*D527</f>
        <v>16725000</v>
      </c>
    </row>
    <row r="528" spans="1:5">
      <c r="A528" s="60">
        <v>6</v>
      </c>
      <c r="B528" s="61" t="s">
        <v>41</v>
      </c>
      <c r="C528" s="97">
        <v>1</v>
      </c>
      <c r="D528" s="63">
        <v>9358000</v>
      </c>
      <c r="E528" s="102">
        <f t="shared" ref="E528:E529" si="129">C528*D528</f>
        <v>9358000</v>
      </c>
    </row>
    <row r="529" spans="1:5">
      <c r="A529" s="60">
        <v>7</v>
      </c>
      <c r="B529" s="61" t="s">
        <v>42</v>
      </c>
      <c r="C529" s="97">
        <v>1</v>
      </c>
      <c r="D529" s="63">
        <v>5600000</v>
      </c>
      <c r="E529" s="102">
        <f t="shared" si="129"/>
        <v>5600000</v>
      </c>
    </row>
    <row r="530" spans="1:5">
      <c r="A530" s="60">
        <v>8</v>
      </c>
      <c r="B530" s="61" t="s">
        <v>44</v>
      </c>
      <c r="C530" s="97">
        <v>1</v>
      </c>
      <c r="D530" s="63">
        <v>1350000</v>
      </c>
      <c r="E530" s="102">
        <f>C530*D530</f>
        <v>1350000</v>
      </c>
    </row>
    <row r="531" spans="1:5">
      <c r="A531" s="60">
        <v>9</v>
      </c>
      <c r="B531" s="61" t="s">
        <v>79</v>
      </c>
      <c r="C531" s="97">
        <v>1</v>
      </c>
      <c r="D531" s="63">
        <v>2500000</v>
      </c>
      <c r="E531" s="102">
        <f t="shared" ref="E531" si="130">C531*D531</f>
        <v>2500000</v>
      </c>
    </row>
    <row r="532" spans="1:5">
      <c r="A532" s="60">
        <v>10</v>
      </c>
      <c r="B532" s="61" t="s">
        <v>45</v>
      </c>
      <c r="C532" s="97">
        <v>26</v>
      </c>
      <c r="D532" s="63">
        <v>50000</v>
      </c>
      <c r="E532" s="102">
        <f>C532*D532</f>
        <v>1300000</v>
      </c>
    </row>
    <row r="533" spans="1:5">
      <c r="A533" s="60">
        <v>11</v>
      </c>
      <c r="B533" s="61"/>
      <c r="C533" s="97"/>
      <c r="D533" s="63"/>
      <c r="E533" s="102">
        <v>3700000</v>
      </c>
    </row>
    <row r="534" spans="1:5">
      <c r="A534" s="60"/>
      <c r="B534" s="61"/>
      <c r="C534" s="97"/>
      <c r="D534" s="63"/>
      <c r="E534" s="102"/>
    </row>
    <row r="535" spans="1:5">
      <c r="A535" s="70"/>
      <c r="B535" s="70" t="s">
        <v>48</v>
      </c>
      <c r="C535" s="98"/>
      <c r="D535" s="72"/>
      <c r="E535" s="74">
        <f>SUM(E523:E534)</f>
        <v>53050000</v>
      </c>
    </row>
    <row r="538" spans="1:5">
      <c r="A538" s="5" t="s">
        <v>677</v>
      </c>
    </row>
    <row r="539" spans="1:5" ht="33">
      <c r="A539" s="83" t="s">
        <v>0</v>
      </c>
      <c r="B539" s="83" t="s">
        <v>21</v>
      </c>
      <c r="C539" s="95" t="s">
        <v>7</v>
      </c>
      <c r="D539" s="84" t="s">
        <v>8</v>
      </c>
      <c r="E539" s="49" t="s">
        <v>9</v>
      </c>
    </row>
    <row r="540" spans="1:5">
      <c r="A540" s="60">
        <v>1</v>
      </c>
      <c r="B540" s="51" t="s">
        <v>35</v>
      </c>
      <c r="C540" s="96">
        <v>52780</v>
      </c>
      <c r="D540" s="53">
        <v>300</v>
      </c>
      <c r="E540" s="101">
        <f t="shared" ref="E540:E543" si="131">C540*D540</f>
        <v>15834000</v>
      </c>
    </row>
    <row r="541" spans="1:5">
      <c r="A541" s="60">
        <v>2</v>
      </c>
      <c r="B541" s="61" t="s">
        <v>37</v>
      </c>
      <c r="C541" s="97">
        <v>2</v>
      </c>
      <c r="D541" s="63">
        <v>2000000</v>
      </c>
      <c r="E541" s="102">
        <f t="shared" si="131"/>
        <v>4000000</v>
      </c>
    </row>
    <row r="542" spans="1:5">
      <c r="A542" s="60">
        <v>3</v>
      </c>
      <c r="B542" s="61" t="s">
        <v>38</v>
      </c>
      <c r="C542" s="97">
        <v>2</v>
      </c>
      <c r="D542" s="63">
        <v>2000000</v>
      </c>
      <c r="E542" s="102">
        <f t="shared" si="131"/>
        <v>4000000</v>
      </c>
    </row>
    <row r="543" spans="1:5">
      <c r="A543" s="60">
        <v>4</v>
      </c>
      <c r="B543" s="61" t="s">
        <v>39</v>
      </c>
      <c r="C543" s="97">
        <v>2</v>
      </c>
      <c r="D543" s="63">
        <v>600000</v>
      </c>
      <c r="E543" s="102">
        <f t="shared" si="131"/>
        <v>1200000</v>
      </c>
    </row>
    <row r="544" spans="1:5">
      <c r="A544" s="60">
        <v>5</v>
      </c>
      <c r="B544" s="61" t="s">
        <v>678</v>
      </c>
      <c r="C544" s="97">
        <v>2</v>
      </c>
      <c r="D544" s="63">
        <v>13650000</v>
      </c>
      <c r="E544" s="102">
        <f>C544*D544</f>
        <v>27300000</v>
      </c>
    </row>
    <row r="545" spans="1:5">
      <c r="A545" s="60">
        <v>6</v>
      </c>
      <c r="B545" s="61" t="s">
        <v>41</v>
      </c>
      <c r="C545" s="97">
        <v>2</v>
      </c>
      <c r="D545" s="63">
        <v>5168040</v>
      </c>
      <c r="E545" s="102">
        <f t="shared" ref="E545:E546" si="132">C545*D545</f>
        <v>10336080</v>
      </c>
    </row>
    <row r="546" spans="1:5">
      <c r="A546" s="60">
        <v>7</v>
      </c>
      <c r="B546" s="61" t="s">
        <v>42</v>
      </c>
      <c r="C546" s="97">
        <v>2</v>
      </c>
      <c r="D546" s="63">
        <v>4610000</v>
      </c>
      <c r="E546" s="102">
        <f t="shared" si="132"/>
        <v>9220000</v>
      </c>
    </row>
    <row r="547" spans="1:5">
      <c r="A547" s="60">
        <v>8</v>
      </c>
      <c r="B547" s="61" t="s">
        <v>44</v>
      </c>
      <c r="C547" s="97">
        <v>1</v>
      </c>
      <c r="D547" s="63">
        <v>1056000</v>
      </c>
      <c r="E547" s="102">
        <f>C547*D547</f>
        <v>1056000</v>
      </c>
    </row>
    <row r="548" spans="1:5">
      <c r="A548" s="60">
        <v>9</v>
      </c>
      <c r="B548" s="61" t="s">
        <v>79</v>
      </c>
      <c r="C548" s="97">
        <v>2</v>
      </c>
      <c r="D548" s="63">
        <v>2500000</v>
      </c>
      <c r="E548" s="102">
        <f t="shared" ref="E548" si="133">C548*D548</f>
        <v>5000000</v>
      </c>
    </row>
    <row r="549" spans="1:5">
      <c r="A549" s="60">
        <v>10</v>
      </c>
      <c r="B549" s="61" t="s">
        <v>45</v>
      </c>
      <c r="C549" s="97">
        <v>53</v>
      </c>
      <c r="D549" s="63">
        <v>50000</v>
      </c>
      <c r="E549" s="102">
        <f>C549*D549</f>
        <v>2650000</v>
      </c>
    </row>
    <row r="550" spans="1:5">
      <c r="A550" s="60">
        <v>11</v>
      </c>
      <c r="B550" s="61" t="s">
        <v>46</v>
      </c>
      <c r="C550" s="97"/>
      <c r="D550" s="63"/>
      <c r="E550" s="102">
        <f>N552</f>
        <v>0</v>
      </c>
    </row>
    <row r="551" spans="1:5">
      <c r="A551" s="60"/>
      <c r="B551" s="61"/>
      <c r="C551" s="97"/>
      <c r="D551" s="63"/>
      <c r="E551" s="102"/>
    </row>
    <row r="552" spans="1:5">
      <c r="A552" s="70"/>
      <c r="B552" s="70" t="s">
        <v>48</v>
      </c>
      <c r="C552" s="98"/>
      <c r="D552" s="74">
        <f>SUM(D540:D551)</f>
        <v>31634340</v>
      </c>
      <c r="E552" s="74">
        <f>SUM(E540:E551)</f>
        <v>80596080</v>
      </c>
    </row>
  </sheetData>
  <mergeCells count="184">
    <mergeCell ref="F506:H506"/>
    <mergeCell ref="F502:H502"/>
    <mergeCell ref="F493:H493"/>
    <mergeCell ref="F495:H495"/>
    <mergeCell ref="F496:H496"/>
    <mergeCell ref="F498:H498"/>
    <mergeCell ref="F499:H499"/>
    <mergeCell ref="F500:H500"/>
    <mergeCell ref="F501:H501"/>
    <mergeCell ref="F503:H503"/>
    <mergeCell ref="F504:H504"/>
    <mergeCell ref="F446:H446"/>
    <mergeCell ref="F448:H448"/>
    <mergeCell ref="F451:H451"/>
    <mergeCell ref="F452:H452"/>
    <mergeCell ref="F453:H453"/>
    <mergeCell ref="F454:H454"/>
    <mergeCell ref="F455:H455"/>
    <mergeCell ref="F459:H459"/>
    <mergeCell ref="F456:H456"/>
    <mergeCell ref="F457:H457"/>
    <mergeCell ref="F450:H450"/>
    <mergeCell ref="F449:H449"/>
    <mergeCell ref="F433:H433"/>
    <mergeCell ref="F435:H435"/>
    <mergeCell ref="F436:H436"/>
    <mergeCell ref="F440:H440"/>
    <mergeCell ref="F442:H442"/>
    <mergeCell ref="F437:H437"/>
    <mergeCell ref="F438:H438"/>
    <mergeCell ref="F439:H439"/>
    <mergeCell ref="F412:H412"/>
    <mergeCell ref="F414:H414"/>
    <mergeCell ref="F416:H416"/>
    <mergeCell ref="F417:H417"/>
    <mergeCell ref="F418:H418"/>
    <mergeCell ref="F420:H420"/>
    <mergeCell ref="F423:H423"/>
    <mergeCell ref="F425:H425"/>
    <mergeCell ref="F426:H426"/>
    <mergeCell ref="F427:H427"/>
    <mergeCell ref="F429:H429"/>
    <mergeCell ref="F415:H415"/>
    <mergeCell ref="F233:H233"/>
    <mergeCell ref="F234:H234"/>
    <mergeCell ref="F408:H408"/>
    <mergeCell ref="F324:H324"/>
    <mergeCell ref="G358:N358"/>
    <mergeCell ref="F404:H404"/>
    <mergeCell ref="F402:H402"/>
    <mergeCell ref="F403:H403"/>
    <mergeCell ref="F405:H405"/>
    <mergeCell ref="F406:H406"/>
    <mergeCell ref="F316:H316"/>
    <mergeCell ref="F317:H317"/>
    <mergeCell ref="F318:H318"/>
    <mergeCell ref="F319:H319"/>
    <mergeCell ref="F320:H320"/>
    <mergeCell ref="F321:H321"/>
    <mergeCell ref="F322:H322"/>
    <mergeCell ref="F352:H352"/>
    <mergeCell ref="F400:H400"/>
    <mergeCell ref="F235:H235"/>
    <mergeCell ref="F236:H236"/>
    <mergeCell ref="F268:H268"/>
    <mergeCell ref="F262:H262"/>
    <mergeCell ref="F263:H263"/>
    <mergeCell ref="A358:E358"/>
    <mergeCell ref="A288:E288"/>
    <mergeCell ref="F269:H269"/>
    <mergeCell ref="F270:H270"/>
    <mergeCell ref="F271:H271"/>
    <mergeCell ref="F281:H281"/>
    <mergeCell ref="F277:H277"/>
    <mergeCell ref="F278:H278"/>
    <mergeCell ref="F279:H279"/>
    <mergeCell ref="F274:H274"/>
    <mergeCell ref="F275:H275"/>
    <mergeCell ref="F276:H276"/>
    <mergeCell ref="F280:H280"/>
    <mergeCell ref="F272:H272"/>
    <mergeCell ref="A328:E328"/>
    <mergeCell ref="F347:H347"/>
    <mergeCell ref="F348:H348"/>
    <mergeCell ref="F349:H349"/>
    <mergeCell ref="F350:H350"/>
    <mergeCell ref="F345:H345"/>
    <mergeCell ref="F264:H264"/>
    <mergeCell ref="F266:H266"/>
    <mergeCell ref="A240:E240"/>
    <mergeCell ref="F267:H267"/>
    <mergeCell ref="F265:H265"/>
    <mergeCell ref="A1:E1"/>
    <mergeCell ref="A32:E32"/>
    <mergeCell ref="A21:E21"/>
    <mergeCell ref="A55:E55"/>
    <mergeCell ref="A105:E105"/>
    <mergeCell ref="B77:D77"/>
    <mergeCell ref="B78:D78"/>
    <mergeCell ref="B79:D79"/>
    <mergeCell ref="B80:D80"/>
    <mergeCell ref="B81:D81"/>
    <mergeCell ref="B82:D82"/>
    <mergeCell ref="B83:D83"/>
    <mergeCell ref="F232:H232"/>
    <mergeCell ref="F227:H227"/>
    <mergeCell ref="F228:H228"/>
    <mergeCell ref="F230:H230"/>
    <mergeCell ref="F231:H231"/>
    <mergeCell ref="F92:H92"/>
    <mergeCell ref="F93:H93"/>
    <mergeCell ref="F99:H99"/>
    <mergeCell ref="F95:H95"/>
    <mergeCell ref="F97:H97"/>
    <mergeCell ref="F198:H198"/>
    <mergeCell ref="F199:H199"/>
    <mergeCell ref="F182:H182"/>
    <mergeCell ref="F183:H183"/>
    <mergeCell ref="F128:H128"/>
    <mergeCell ref="F129:H129"/>
    <mergeCell ref="F130:H130"/>
    <mergeCell ref="F132:H132"/>
    <mergeCell ref="F133:H133"/>
    <mergeCell ref="F196:H196"/>
    <mergeCell ref="F89:H89"/>
    <mergeCell ref="F90:H90"/>
    <mergeCell ref="F85:H85"/>
    <mergeCell ref="F86:H86"/>
    <mergeCell ref="F87:H87"/>
    <mergeCell ref="F88:H88"/>
    <mergeCell ref="F100:H100"/>
    <mergeCell ref="F226:H226"/>
    <mergeCell ref="F131:H131"/>
    <mergeCell ref="F139:H139"/>
    <mergeCell ref="F134:H134"/>
    <mergeCell ref="F94:H94"/>
    <mergeCell ref="F136:H136"/>
    <mergeCell ref="F137:H137"/>
    <mergeCell ref="F141:H141"/>
    <mergeCell ref="F142:H142"/>
    <mergeCell ref="F143:H143"/>
    <mergeCell ref="F144:H144"/>
    <mergeCell ref="F189:H189"/>
    <mergeCell ref="F194:H194"/>
    <mergeCell ref="F190:H190"/>
    <mergeCell ref="F191:H191"/>
    <mergeCell ref="F96:H96"/>
    <mergeCell ref="F98:H98"/>
    <mergeCell ref="A205:E205"/>
    <mergeCell ref="F195:H195"/>
    <mergeCell ref="F197:H197"/>
    <mergeCell ref="F135:H135"/>
    <mergeCell ref="F140:H140"/>
    <mergeCell ref="A150:E150"/>
    <mergeCell ref="F188:H188"/>
    <mergeCell ref="F145:H145"/>
    <mergeCell ref="F146:H146"/>
    <mergeCell ref="F147:H147"/>
    <mergeCell ref="F177:H177"/>
    <mergeCell ref="F178:H178"/>
    <mergeCell ref="F179:H179"/>
    <mergeCell ref="F180:H180"/>
    <mergeCell ref="F181:H181"/>
    <mergeCell ref="F184:H184"/>
    <mergeCell ref="F471:H471"/>
    <mergeCell ref="F472:H472"/>
    <mergeCell ref="F474:H474"/>
    <mergeCell ref="F463:H463"/>
    <mergeCell ref="F465:H465"/>
    <mergeCell ref="F466:H466"/>
    <mergeCell ref="F467:H467"/>
    <mergeCell ref="F468:H468"/>
    <mergeCell ref="F469:H469"/>
    <mergeCell ref="F470:H470"/>
    <mergeCell ref="F489:H489"/>
    <mergeCell ref="F480:H480"/>
    <mergeCell ref="F478:H478"/>
    <mergeCell ref="F481:H481"/>
    <mergeCell ref="F482:H482"/>
    <mergeCell ref="F483:H483"/>
    <mergeCell ref="F484:H484"/>
    <mergeCell ref="F485:H485"/>
    <mergeCell ref="F486:H486"/>
    <mergeCell ref="F487:H487"/>
  </mergeCells>
  <pageMargins left="0.16" right="0.16" top="0.19" bottom="0.25" header="0" footer="0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3"/>
  <sheetViews>
    <sheetView workbookViewId="0">
      <selection activeCell="E28" sqref="E28"/>
    </sheetView>
  </sheetViews>
  <sheetFormatPr defaultColWidth="9.140625" defaultRowHeight="16.5"/>
  <cols>
    <col min="1" max="1" width="5.5703125" style="5" customWidth="1"/>
    <col min="2" max="2" width="34.140625" style="5" customWidth="1"/>
    <col min="3" max="3" width="12.5703125" style="6" customWidth="1"/>
    <col min="4" max="4" width="13.28515625" style="7" bestFit="1" customWidth="1"/>
    <col min="5" max="5" width="17.42578125" style="7" customWidth="1"/>
    <col min="6" max="6" width="15.85546875" style="5" customWidth="1"/>
    <col min="7" max="7" width="14.5703125" style="3" bestFit="1" customWidth="1"/>
    <col min="8" max="8" width="10.42578125" style="3" customWidth="1"/>
    <col min="9" max="9" width="16.5703125" style="3" customWidth="1"/>
    <col min="10" max="11" width="11.5703125" style="3" customWidth="1"/>
    <col min="12" max="12" width="10" style="3" customWidth="1"/>
    <col min="13" max="13" width="12.85546875" style="3" customWidth="1"/>
    <col min="14" max="14" width="13.28515625" style="3" customWidth="1"/>
    <col min="15" max="16384" width="9.140625" style="5"/>
  </cols>
  <sheetData>
    <row r="1" spans="1:11" ht="47.25" customHeight="1">
      <c r="A1" s="879" t="s">
        <v>20</v>
      </c>
      <c r="B1" s="879"/>
      <c r="C1" s="879"/>
      <c r="D1" s="879"/>
      <c r="E1" s="879"/>
      <c r="F1" s="1"/>
      <c r="G1" s="2"/>
      <c r="H1" s="2"/>
    </row>
    <row r="2" spans="1:11" ht="18.75" customHeight="1">
      <c r="A2" s="4"/>
      <c r="G2" s="5"/>
      <c r="H2" s="8"/>
    </row>
    <row r="3" spans="1:11" s="13" customFormat="1" ht="39.75" customHeight="1">
      <c r="A3" s="9"/>
      <c r="B3" s="10" t="s">
        <v>21</v>
      </c>
      <c r="C3" s="11" t="s">
        <v>7</v>
      </c>
      <c r="D3" s="12" t="s">
        <v>8</v>
      </c>
      <c r="E3" s="12" t="s">
        <v>22</v>
      </c>
      <c r="F3" s="12" t="s">
        <v>3</v>
      </c>
    </row>
    <row r="4" spans="1:11" s="14" customFormat="1" ht="17.25" customHeight="1">
      <c r="B4" s="15" t="s">
        <v>23</v>
      </c>
      <c r="C4" s="16"/>
      <c r="D4" s="17"/>
      <c r="E4" s="18"/>
      <c r="F4" s="19"/>
    </row>
    <row r="5" spans="1:11" s="14" customFormat="1" ht="17.25" customHeight="1">
      <c r="B5" s="20" t="s">
        <v>24</v>
      </c>
      <c r="C5" s="21">
        <v>52000</v>
      </c>
      <c r="D5" s="22">
        <v>2.85</v>
      </c>
      <c r="E5" s="23">
        <f>C5*D5</f>
        <v>148200</v>
      </c>
      <c r="F5" s="24"/>
    </row>
    <row r="6" spans="1:11" s="25" customFormat="1" ht="17.25" customHeight="1">
      <c r="B6" s="26" t="s">
        <v>25</v>
      </c>
      <c r="C6" s="27"/>
      <c r="D6" s="28"/>
      <c r="E6" s="29"/>
      <c r="F6" s="30"/>
    </row>
    <row r="7" spans="1:11" s="14" customFormat="1" ht="17.25" customHeight="1">
      <c r="B7" s="20" t="s">
        <v>26</v>
      </c>
      <c r="C7" s="21"/>
      <c r="D7" s="22"/>
      <c r="E7" s="23"/>
      <c r="F7" s="31">
        <v>148188</v>
      </c>
    </row>
    <row r="8" spans="1:11" s="14" customFormat="1" ht="17.25" customHeight="1">
      <c r="B8" s="20"/>
      <c r="C8" s="21"/>
      <c r="D8" s="22"/>
      <c r="E8" s="23"/>
      <c r="F8" s="24"/>
    </row>
    <row r="9" spans="1:11" s="25" customFormat="1" ht="17.25" customHeight="1">
      <c r="B9" s="32" t="s">
        <v>27</v>
      </c>
      <c r="C9" s="33">
        <f>SUM(C4:C8)</f>
        <v>52000</v>
      </c>
      <c r="D9" s="33"/>
      <c r="E9" s="33">
        <f t="shared" ref="E9:F9" si="0">SUM(E4:E8)</f>
        <v>148200</v>
      </c>
      <c r="F9" s="33">
        <f t="shared" si="0"/>
        <v>148188</v>
      </c>
    </row>
    <row r="10" spans="1:11" s="14" customFormat="1" ht="17.25" customHeight="1">
      <c r="B10" s="15" t="s">
        <v>28</v>
      </c>
      <c r="C10" s="21"/>
      <c r="D10" s="22"/>
      <c r="E10" s="23">
        <f t="shared" ref="E10:E11" si="1">C10*D10</f>
        <v>0</v>
      </c>
      <c r="F10" s="24"/>
      <c r="I10" s="34"/>
      <c r="J10" s="34"/>
      <c r="K10" s="34"/>
    </row>
    <row r="11" spans="1:11" s="14" customFormat="1" ht="17.25" customHeight="1">
      <c r="B11" s="20" t="s">
        <v>24</v>
      </c>
      <c r="C11" s="21">
        <v>52000</v>
      </c>
      <c r="D11" s="22">
        <v>2.85</v>
      </c>
      <c r="E11" s="23">
        <f t="shared" si="1"/>
        <v>148200</v>
      </c>
      <c r="F11" s="24"/>
    </row>
    <row r="12" spans="1:11" s="25" customFormat="1" ht="17.25" customHeight="1">
      <c r="B12" s="26" t="s">
        <v>25</v>
      </c>
      <c r="C12" s="27"/>
      <c r="D12" s="28"/>
      <c r="E12" s="29"/>
      <c r="F12" s="30"/>
    </row>
    <row r="13" spans="1:11" s="14" customFormat="1" ht="17.25" customHeight="1">
      <c r="B13" s="20"/>
      <c r="C13" s="21"/>
      <c r="D13" s="22"/>
      <c r="E13" s="23"/>
      <c r="F13" s="24"/>
    </row>
    <row r="14" spans="1:11" s="14" customFormat="1" ht="17.25" customHeight="1">
      <c r="B14" s="35"/>
      <c r="C14" s="36"/>
      <c r="D14" s="37"/>
      <c r="E14" s="38"/>
      <c r="F14" s="39"/>
    </row>
    <row r="15" spans="1:11" s="25" customFormat="1" ht="17.25" customHeight="1">
      <c r="B15" s="32" t="s">
        <v>27</v>
      </c>
      <c r="C15" s="33">
        <f>SUM(C10:C14)</f>
        <v>52000</v>
      </c>
      <c r="D15" s="33"/>
      <c r="E15" s="33">
        <f t="shared" ref="E15:F15" si="2">SUM(E10:E14)</f>
        <v>148200</v>
      </c>
      <c r="F15" s="33">
        <f t="shared" si="2"/>
        <v>0</v>
      </c>
    </row>
    <row r="16" spans="1:11" s="25" customFormat="1" ht="17.25" customHeight="1">
      <c r="B16" s="40"/>
      <c r="C16" s="41"/>
      <c r="D16" s="42"/>
      <c r="E16" s="43"/>
      <c r="F16" s="44"/>
      <c r="G16" s="45" t="s">
        <v>29</v>
      </c>
    </row>
    <row r="17" spans="1:15" s="85" customFormat="1" ht="36.75" customHeight="1">
      <c r="A17" s="83" t="s">
        <v>0</v>
      </c>
      <c r="B17" s="83" t="s">
        <v>21</v>
      </c>
      <c r="C17" s="46" t="s">
        <v>7</v>
      </c>
      <c r="D17" s="84" t="s">
        <v>8</v>
      </c>
      <c r="E17" s="84" t="s">
        <v>9</v>
      </c>
      <c r="G17" s="47" t="s">
        <v>30</v>
      </c>
      <c r="H17" s="47" t="s">
        <v>31</v>
      </c>
      <c r="I17" s="47" t="s">
        <v>21</v>
      </c>
      <c r="J17" s="47" t="s">
        <v>32</v>
      </c>
      <c r="K17" s="47" t="s">
        <v>83</v>
      </c>
      <c r="L17" s="46" t="s">
        <v>33</v>
      </c>
      <c r="M17" s="49" t="s">
        <v>34</v>
      </c>
      <c r="N17" s="49" t="s">
        <v>9</v>
      </c>
    </row>
    <row r="18" spans="1:15" ht="17.25" customHeight="1">
      <c r="A18" s="50">
        <f>ROW()-3</f>
        <v>15</v>
      </c>
      <c r="B18" s="51" t="s">
        <v>35</v>
      </c>
      <c r="C18" s="52">
        <f>52000*2</f>
        <v>104000</v>
      </c>
      <c r="D18" s="53">
        <v>300</v>
      </c>
      <c r="E18" s="53">
        <f t="shared" ref="E18:E25" si="3">C18*D18</f>
        <v>31200000</v>
      </c>
      <c r="G18" s="54">
        <v>42574</v>
      </c>
      <c r="H18" s="54">
        <v>42586</v>
      </c>
      <c r="I18" s="55" t="s">
        <v>36</v>
      </c>
      <c r="J18" s="56">
        <f>H18-G18+1</f>
        <v>13</v>
      </c>
      <c r="K18" s="92">
        <v>239</v>
      </c>
      <c r="L18" s="57">
        <v>3.1070000000000002</v>
      </c>
      <c r="M18" s="58">
        <v>18000</v>
      </c>
      <c r="N18" s="58">
        <f>M18*L18*J18</f>
        <v>727038.00000000012</v>
      </c>
      <c r="O18" s="59"/>
    </row>
    <row r="19" spans="1:15" ht="17.25" customHeight="1">
      <c r="A19" s="60">
        <f t="shared" ref="A19:A25" si="4">ROW()-3</f>
        <v>16</v>
      </c>
      <c r="B19" s="61" t="s">
        <v>37</v>
      </c>
      <c r="C19" s="62">
        <v>4</v>
      </c>
      <c r="D19" s="63">
        <v>2000000</v>
      </c>
      <c r="E19" s="63">
        <f t="shared" si="3"/>
        <v>8000000</v>
      </c>
      <c r="G19" s="64">
        <v>42575</v>
      </c>
      <c r="H19" s="64">
        <v>42586</v>
      </c>
      <c r="I19" s="55" t="s">
        <v>36</v>
      </c>
      <c r="J19" s="56">
        <f t="shared" ref="J19:J29" si="5">H19-G19+1</f>
        <v>12</v>
      </c>
      <c r="K19" s="92">
        <v>1761</v>
      </c>
      <c r="L19" s="65">
        <v>22.893000000000001</v>
      </c>
      <c r="M19" s="58">
        <v>18000</v>
      </c>
      <c r="N19" s="58">
        <f t="shared" ref="N19:N29" si="6">M19*L19*J19</f>
        <v>4944888</v>
      </c>
      <c r="O19" s="59"/>
    </row>
    <row r="20" spans="1:15" ht="17.25" customHeight="1">
      <c r="A20" s="60">
        <f t="shared" si="4"/>
        <v>17</v>
      </c>
      <c r="B20" s="61" t="s">
        <v>38</v>
      </c>
      <c r="C20" s="62">
        <v>4</v>
      </c>
      <c r="D20" s="63">
        <v>2000000</v>
      </c>
      <c r="E20" s="63">
        <f t="shared" si="3"/>
        <v>8000000</v>
      </c>
      <c r="G20" s="64">
        <v>42575</v>
      </c>
      <c r="H20" s="64">
        <v>42587</v>
      </c>
      <c r="I20" s="55" t="s">
        <v>36</v>
      </c>
      <c r="J20" s="56">
        <f t="shared" si="5"/>
        <v>13</v>
      </c>
      <c r="K20" s="92">
        <v>176</v>
      </c>
      <c r="L20" s="65">
        <v>2.2879999999999998</v>
      </c>
      <c r="M20" s="58">
        <v>18000</v>
      </c>
      <c r="N20" s="58">
        <f t="shared" si="6"/>
        <v>535392</v>
      </c>
      <c r="O20" s="59"/>
    </row>
    <row r="21" spans="1:15" ht="17.25" customHeight="1">
      <c r="A21" s="60">
        <f t="shared" si="4"/>
        <v>18</v>
      </c>
      <c r="B21" s="61" t="s">
        <v>39</v>
      </c>
      <c r="C21" s="62">
        <v>4</v>
      </c>
      <c r="D21" s="63">
        <v>600000</v>
      </c>
      <c r="E21" s="63">
        <f t="shared" si="3"/>
        <v>2400000</v>
      </c>
      <c r="G21" s="64">
        <v>42576</v>
      </c>
      <c r="H21" s="64">
        <v>42587</v>
      </c>
      <c r="I21" s="55" t="s">
        <v>36</v>
      </c>
      <c r="J21" s="56">
        <f t="shared" si="5"/>
        <v>12</v>
      </c>
      <c r="K21" s="92">
        <v>590</v>
      </c>
      <c r="L21" s="65">
        <v>7.67</v>
      </c>
      <c r="M21" s="58">
        <v>18000</v>
      </c>
      <c r="N21" s="58">
        <f t="shared" si="6"/>
        <v>1656720</v>
      </c>
      <c r="O21" s="59"/>
    </row>
    <row r="22" spans="1:15" ht="17.25" customHeight="1">
      <c r="A22" s="60">
        <f t="shared" si="4"/>
        <v>19</v>
      </c>
      <c r="B22" s="61" t="s">
        <v>40</v>
      </c>
      <c r="C22" s="62">
        <v>4</v>
      </c>
      <c r="D22" s="63">
        <v>15306800</v>
      </c>
      <c r="E22" s="63">
        <f>C22*D22</f>
        <v>61227200</v>
      </c>
      <c r="G22" s="64">
        <v>42577</v>
      </c>
      <c r="H22" s="64">
        <v>42587</v>
      </c>
      <c r="I22" s="55" t="s">
        <v>36</v>
      </c>
      <c r="J22" s="56">
        <f t="shared" si="5"/>
        <v>11</v>
      </c>
      <c r="K22" s="92">
        <v>1234</v>
      </c>
      <c r="L22" s="65">
        <v>16.042000000000002</v>
      </c>
      <c r="M22" s="58">
        <v>18000</v>
      </c>
      <c r="N22" s="58">
        <f t="shared" si="6"/>
        <v>3176316</v>
      </c>
      <c r="O22" s="59"/>
    </row>
    <row r="23" spans="1:15" ht="17.25" customHeight="1">
      <c r="A23" s="60">
        <f t="shared" si="4"/>
        <v>20</v>
      </c>
      <c r="B23" s="61" t="s">
        <v>41</v>
      </c>
      <c r="C23" s="62">
        <v>4</v>
      </c>
      <c r="D23" s="63">
        <v>7378778</v>
      </c>
      <c r="E23" s="63">
        <f t="shared" si="3"/>
        <v>29515112</v>
      </c>
      <c r="G23" s="64">
        <v>42577</v>
      </c>
      <c r="H23" s="64">
        <v>42593</v>
      </c>
      <c r="I23" s="55" t="s">
        <v>36</v>
      </c>
      <c r="J23" s="56">
        <f t="shared" si="5"/>
        <v>17</v>
      </c>
      <c r="K23" s="92">
        <v>138</v>
      </c>
      <c r="L23" s="65">
        <v>1.794</v>
      </c>
      <c r="M23" s="58">
        <v>18000</v>
      </c>
      <c r="N23" s="58">
        <f t="shared" si="6"/>
        <v>548964</v>
      </c>
      <c r="O23" s="59"/>
    </row>
    <row r="24" spans="1:15" ht="17.25" customHeight="1">
      <c r="A24" s="60">
        <f t="shared" si="4"/>
        <v>21</v>
      </c>
      <c r="B24" s="61" t="s">
        <v>42</v>
      </c>
      <c r="C24" s="62">
        <v>4</v>
      </c>
      <c r="D24" s="63">
        <v>5600000</v>
      </c>
      <c r="E24" s="63">
        <f t="shared" si="3"/>
        <v>22400000</v>
      </c>
      <c r="G24" s="64">
        <v>42578</v>
      </c>
      <c r="H24" s="64">
        <v>42593</v>
      </c>
      <c r="I24" s="55" t="s">
        <v>36</v>
      </c>
      <c r="J24" s="56">
        <f t="shared" si="5"/>
        <v>16</v>
      </c>
      <c r="K24" s="92">
        <v>1723</v>
      </c>
      <c r="L24" s="65">
        <v>22.399000000000001</v>
      </c>
      <c r="M24" s="58">
        <v>18000</v>
      </c>
      <c r="N24" s="58">
        <f t="shared" si="6"/>
        <v>6450912</v>
      </c>
      <c r="O24" s="59"/>
    </row>
    <row r="25" spans="1:15" ht="16.5" customHeight="1">
      <c r="A25" s="60">
        <f t="shared" si="4"/>
        <v>22</v>
      </c>
      <c r="B25" s="61" t="s">
        <v>43</v>
      </c>
      <c r="C25" s="62">
        <v>4</v>
      </c>
      <c r="D25" s="63">
        <f>88*22500</f>
        <v>1980000</v>
      </c>
      <c r="E25" s="63">
        <f t="shared" si="3"/>
        <v>7920000</v>
      </c>
      <c r="G25" s="64">
        <v>42579</v>
      </c>
      <c r="H25" s="64">
        <v>42593</v>
      </c>
      <c r="I25" s="55" t="s">
        <v>36</v>
      </c>
      <c r="J25" s="56">
        <f t="shared" si="5"/>
        <v>15</v>
      </c>
      <c r="K25" s="92">
        <v>139</v>
      </c>
      <c r="L25" s="65">
        <v>1.8069999999999999</v>
      </c>
      <c r="M25" s="58">
        <v>18000</v>
      </c>
      <c r="N25" s="58">
        <f t="shared" si="6"/>
        <v>487890</v>
      </c>
      <c r="O25" s="59"/>
    </row>
    <row r="26" spans="1:15" ht="16.5" customHeight="1">
      <c r="A26" s="60">
        <v>9</v>
      </c>
      <c r="B26" s="61" t="s">
        <v>44</v>
      </c>
      <c r="C26" s="62">
        <v>2</v>
      </c>
      <c r="D26" s="63">
        <v>1350000</v>
      </c>
      <c r="E26" s="63">
        <f>C26*D26</f>
        <v>2700000</v>
      </c>
      <c r="G26" s="64">
        <v>42579</v>
      </c>
      <c r="H26" s="64">
        <v>42594</v>
      </c>
      <c r="I26" s="55" t="s">
        <v>36</v>
      </c>
      <c r="J26" s="56">
        <f t="shared" si="5"/>
        <v>16</v>
      </c>
      <c r="K26" s="92">
        <v>911</v>
      </c>
      <c r="L26" s="65">
        <v>11.843</v>
      </c>
      <c r="M26" s="58">
        <v>18000</v>
      </c>
      <c r="N26" s="58">
        <f t="shared" si="6"/>
        <v>3410784</v>
      </c>
      <c r="O26" s="59"/>
    </row>
    <row r="27" spans="1:15" ht="17.25" customHeight="1">
      <c r="A27" s="60">
        <v>10</v>
      </c>
      <c r="B27" s="61" t="s">
        <v>45</v>
      </c>
      <c r="C27" s="62">
        <f>C18</f>
        <v>104000</v>
      </c>
      <c r="D27" s="63">
        <v>50</v>
      </c>
      <c r="E27" s="63">
        <f>C27*D27</f>
        <v>5200000</v>
      </c>
      <c r="G27" s="64">
        <v>42590</v>
      </c>
      <c r="H27" s="64">
        <v>42594</v>
      </c>
      <c r="I27" s="55" t="s">
        <v>36</v>
      </c>
      <c r="J27" s="56">
        <f>H27-G27+1</f>
        <v>5</v>
      </c>
      <c r="K27" s="92">
        <v>580</v>
      </c>
      <c r="L27" s="65">
        <v>7.54</v>
      </c>
      <c r="M27" s="58">
        <v>18000</v>
      </c>
      <c r="N27" s="58">
        <f>M27*L27*J27</f>
        <v>678600</v>
      </c>
      <c r="O27" s="59"/>
    </row>
    <row r="28" spans="1:15" ht="17.25" customHeight="1">
      <c r="A28" s="60">
        <v>11</v>
      </c>
      <c r="B28" s="61" t="s">
        <v>46</v>
      </c>
      <c r="C28" s="62"/>
      <c r="D28" s="63"/>
      <c r="E28" s="63">
        <f>N31</f>
        <v>22818510</v>
      </c>
      <c r="G28" s="64">
        <v>42593</v>
      </c>
      <c r="H28" s="64">
        <v>42594</v>
      </c>
      <c r="I28" s="55" t="s">
        <v>36</v>
      </c>
      <c r="J28" s="56">
        <f>H28-G28+1</f>
        <v>2</v>
      </c>
      <c r="K28" s="92">
        <v>350</v>
      </c>
      <c r="L28" s="65">
        <v>4.55</v>
      </c>
      <c r="M28" s="58">
        <v>18000</v>
      </c>
      <c r="N28" s="58">
        <f>M28*L28*J28</f>
        <v>163800</v>
      </c>
      <c r="O28" s="59"/>
    </row>
    <row r="29" spans="1:15" s="4" customFormat="1" ht="17.25" customHeight="1">
      <c r="A29" s="60">
        <v>12</v>
      </c>
      <c r="B29" s="61" t="s">
        <v>47</v>
      </c>
      <c r="C29" s="62"/>
      <c r="D29" s="63"/>
      <c r="E29" s="63">
        <v>1000000</v>
      </c>
      <c r="F29" s="5"/>
      <c r="G29" s="64">
        <v>42594</v>
      </c>
      <c r="H29" s="64">
        <v>42594</v>
      </c>
      <c r="I29" s="55" t="s">
        <v>36</v>
      </c>
      <c r="J29" s="56">
        <f t="shared" si="5"/>
        <v>1</v>
      </c>
      <c r="K29" s="92">
        <v>159</v>
      </c>
      <c r="L29" s="65">
        <v>2.0670000000000002</v>
      </c>
      <c r="M29" s="58">
        <v>18000</v>
      </c>
      <c r="N29" s="58">
        <f t="shared" si="6"/>
        <v>37206</v>
      </c>
      <c r="O29" s="59"/>
    </row>
    <row r="30" spans="1:15" ht="11.25" customHeight="1">
      <c r="A30" s="60"/>
      <c r="B30" s="61"/>
      <c r="C30" s="62"/>
      <c r="D30" s="63"/>
      <c r="E30" s="63"/>
      <c r="G30" s="66"/>
      <c r="H30" s="66"/>
      <c r="I30" s="67"/>
      <c r="J30" s="67"/>
      <c r="K30" s="93"/>
      <c r="L30" s="68"/>
      <c r="M30" s="69"/>
      <c r="N30" s="69">
        <f t="shared" ref="N30" si="7">L30*M30</f>
        <v>0</v>
      </c>
    </row>
    <row r="31" spans="1:15" ht="18.75" customHeight="1">
      <c r="A31" s="70"/>
      <c r="B31" s="70" t="s">
        <v>48</v>
      </c>
      <c r="C31" s="71"/>
      <c r="D31" s="72"/>
      <c r="E31" s="72">
        <f>SUM(E18:E30)</f>
        <v>202380822</v>
      </c>
      <c r="F31" s="4"/>
      <c r="G31" s="73"/>
      <c r="H31" s="73"/>
      <c r="I31" s="73" t="s">
        <v>48</v>
      </c>
      <c r="J31" s="73"/>
      <c r="K31" s="89">
        <f>SUM(K18:K30)</f>
        <v>8000</v>
      </c>
      <c r="L31" s="121">
        <f>SUM(L18:L30)</f>
        <v>104</v>
      </c>
      <c r="M31" s="74"/>
      <c r="N31" s="74">
        <f>SUM(N18:N30)</f>
        <v>22818510</v>
      </c>
    </row>
    <row r="32" spans="1:15" ht="18.75" customHeight="1"/>
    <row r="33" spans="1:11" s="3" customFormat="1">
      <c r="A33" s="5"/>
      <c r="B33" s="5"/>
      <c r="C33" s="6"/>
      <c r="D33" s="7" t="s">
        <v>49</v>
      </c>
      <c r="E33" s="7">
        <f>E31/C18</f>
        <v>1945.9694423076924</v>
      </c>
      <c r="F33" s="5"/>
    </row>
    <row r="35" spans="1:11" ht="33">
      <c r="A35" s="48" t="s">
        <v>0</v>
      </c>
      <c r="B35" s="47" t="s">
        <v>21</v>
      </c>
      <c r="C35" s="46" t="s">
        <v>50</v>
      </c>
      <c r="D35" s="49" t="s">
        <v>51</v>
      </c>
      <c r="E35" s="49" t="s">
        <v>9</v>
      </c>
      <c r="F35" s="49" t="s">
        <v>52</v>
      </c>
    </row>
    <row r="36" spans="1:11">
      <c r="A36" s="60">
        <v>1</v>
      </c>
      <c r="B36" s="61" t="s">
        <v>53</v>
      </c>
      <c r="C36" s="62">
        <f>F9</f>
        <v>148188</v>
      </c>
      <c r="D36" s="63">
        <v>22260</v>
      </c>
      <c r="E36" s="63">
        <f t="shared" ref="E36:E37" si="8">C36*D36</f>
        <v>3298664880</v>
      </c>
      <c r="F36" s="63"/>
    </row>
    <row r="37" spans="1:11">
      <c r="A37" s="60">
        <v>2</v>
      </c>
      <c r="B37" s="61" t="s">
        <v>54</v>
      </c>
      <c r="C37" s="62"/>
      <c r="D37" s="63"/>
      <c r="E37" s="63">
        <f t="shared" si="8"/>
        <v>0</v>
      </c>
      <c r="F37" s="63">
        <v>1416959000</v>
      </c>
      <c r="G37" s="75"/>
      <c r="H37" s="76"/>
      <c r="I37" s="75"/>
      <c r="J37" s="77"/>
      <c r="K37" s="77"/>
    </row>
    <row r="38" spans="1:11">
      <c r="A38" s="60">
        <v>3</v>
      </c>
      <c r="B38" s="61" t="s">
        <v>55</v>
      </c>
      <c r="C38" s="62"/>
      <c r="D38" s="63"/>
      <c r="E38" s="63">
        <f>C38*D38</f>
        <v>0</v>
      </c>
      <c r="F38" s="63">
        <v>1421958000</v>
      </c>
      <c r="G38" s="75"/>
      <c r="H38" s="76"/>
      <c r="I38" s="75"/>
      <c r="J38" s="77"/>
      <c r="K38" s="77"/>
    </row>
    <row r="39" spans="1:11">
      <c r="A39" s="60">
        <v>5</v>
      </c>
      <c r="B39" s="61" t="s">
        <v>56</v>
      </c>
      <c r="C39" s="62"/>
      <c r="D39" s="63"/>
      <c r="E39" s="63">
        <f>C39*D39</f>
        <v>0</v>
      </c>
      <c r="F39" s="63">
        <v>257367058</v>
      </c>
      <c r="G39" s="75"/>
      <c r="H39" s="76"/>
      <c r="I39" s="75"/>
      <c r="J39" s="77"/>
      <c r="K39" s="77"/>
    </row>
    <row r="40" spans="1:11">
      <c r="A40" s="67"/>
      <c r="B40" s="78"/>
      <c r="C40" s="79"/>
      <c r="D40" s="80"/>
      <c r="E40" s="80">
        <f>N41</f>
        <v>0</v>
      </c>
      <c r="F40" s="80"/>
    </row>
    <row r="41" spans="1:11">
      <c r="A41" s="70"/>
      <c r="B41" s="70" t="s">
        <v>57</v>
      </c>
      <c r="C41" s="71"/>
      <c r="D41" s="72"/>
      <c r="E41" s="72">
        <f>SUM(E36:E40)</f>
        <v>3298664880</v>
      </c>
      <c r="F41" s="72">
        <f>SUM(F36:F40)</f>
        <v>3096284058</v>
      </c>
    </row>
    <row r="43" spans="1:11">
      <c r="D43" s="81" t="s">
        <v>58</v>
      </c>
      <c r="F43" s="82">
        <f>E41-F41</f>
        <v>202380822</v>
      </c>
    </row>
  </sheetData>
  <mergeCells count="1">
    <mergeCell ref="A1:E1"/>
  </mergeCells>
  <pageMargins left="0.51" right="0.25" top="0.19" bottom="0.25" header="0" footer="0"/>
  <pageSetup paperSize="9"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89"/>
  <sheetViews>
    <sheetView topLeftCell="A66" workbookViewId="0">
      <selection activeCell="E74" sqref="E74"/>
    </sheetView>
  </sheetViews>
  <sheetFormatPr defaultRowHeight="15"/>
  <cols>
    <col min="1" max="1" width="6.85546875" style="150" customWidth="1"/>
    <col min="2" max="2" width="10.42578125" style="146" customWidth="1"/>
    <col min="3" max="3" width="9.140625" style="146"/>
    <col min="4" max="4" width="24.28515625" style="146" customWidth="1"/>
    <col min="5" max="5" width="10.85546875" style="146" customWidth="1"/>
    <col min="6" max="6" width="10.5703125" style="146" customWidth="1"/>
    <col min="7" max="7" width="13.7109375" style="146" customWidth="1"/>
    <col min="8" max="8" width="12.140625" style="146" customWidth="1"/>
    <col min="9" max="9" width="9.140625" style="146"/>
    <col min="10" max="10" width="11.28515625" style="146" bestFit="1" customWidth="1"/>
    <col min="11" max="16384" width="9.140625" style="146"/>
  </cols>
  <sheetData>
    <row r="2" spans="1:10" s="141" customFormat="1" ht="28.5" customHeight="1">
      <c r="A2" s="896" t="s">
        <v>204</v>
      </c>
      <c r="B2" s="896"/>
      <c r="C2" s="896"/>
      <c r="D2" s="896"/>
      <c r="E2" s="896"/>
      <c r="F2" s="896"/>
      <c r="G2" s="896"/>
      <c r="H2" s="896"/>
      <c r="I2" s="896"/>
    </row>
    <row r="3" spans="1:10" s="143" customFormat="1" ht="33.75" customHeight="1">
      <c r="A3" s="142" t="s">
        <v>0</v>
      </c>
      <c r="B3" s="142" t="s">
        <v>205</v>
      </c>
      <c r="C3" s="142" t="s">
        <v>206</v>
      </c>
      <c r="D3" s="142" t="s">
        <v>207</v>
      </c>
      <c r="E3" s="142" t="s">
        <v>7</v>
      </c>
      <c r="F3" s="142" t="s">
        <v>8</v>
      </c>
      <c r="G3" s="142" t="s">
        <v>9</v>
      </c>
      <c r="H3" s="142" t="s">
        <v>208</v>
      </c>
      <c r="I3" s="142" t="s">
        <v>82</v>
      </c>
    </row>
    <row r="4" spans="1:10" ht="21" customHeight="1">
      <c r="A4" s="144">
        <v>1</v>
      </c>
      <c r="B4" s="151">
        <v>42683</v>
      </c>
      <c r="C4" s="152" t="s">
        <v>209</v>
      </c>
      <c r="D4" s="145" t="s">
        <v>218</v>
      </c>
      <c r="E4" s="139">
        <v>4000</v>
      </c>
      <c r="F4" s="138">
        <v>4500</v>
      </c>
      <c r="G4" s="138">
        <f t="shared" ref="G4:G12" si="0">E4*F4</f>
        <v>18000000</v>
      </c>
      <c r="H4" s="138">
        <f t="shared" ref="H4:H13" si="1">G4*10%</f>
        <v>1800000</v>
      </c>
      <c r="I4" s="147"/>
      <c r="J4" s="157"/>
    </row>
    <row r="5" spans="1:10" ht="21" customHeight="1">
      <c r="A5" s="144">
        <v>2</v>
      </c>
      <c r="B5" s="151">
        <v>42684</v>
      </c>
      <c r="C5" s="152" t="s">
        <v>210</v>
      </c>
      <c r="D5" s="145" t="s">
        <v>218</v>
      </c>
      <c r="E5" s="139">
        <v>4000</v>
      </c>
      <c r="F5" s="138">
        <v>4500</v>
      </c>
      <c r="G5" s="138">
        <f t="shared" si="0"/>
        <v>18000000</v>
      </c>
      <c r="H5" s="138">
        <f t="shared" si="1"/>
        <v>1800000</v>
      </c>
      <c r="I5" s="147"/>
      <c r="J5" s="157"/>
    </row>
    <row r="6" spans="1:10" ht="21" customHeight="1">
      <c r="A6" s="144">
        <v>3</v>
      </c>
      <c r="B6" s="151">
        <v>42689</v>
      </c>
      <c r="C6" s="156" t="s">
        <v>224</v>
      </c>
      <c r="D6" s="145" t="s">
        <v>218</v>
      </c>
      <c r="E6" s="139">
        <v>3900</v>
      </c>
      <c r="F6" s="138">
        <v>4500</v>
      </c>
      <c r="G6" s="138">
        <f t="shared" si="0"/>
        <v>17550000</v>
      </c>
      <c r="H6" s="138">
        <f t="shared" si="1"/>
        <v>1755000</v>
      </c>
      <c r="I6" s="147"/>
      <c r="J6" s="157"/>
    </row>
    <row r="7" spans="1:10" ht="42" customHeight="1">
      <c r="A7" s="144">
        <v>4</v>
      </c>
      <c r="B7" s="151">
        <v>42693</v>
      </c>
      <c r="C7" s="156" t="s">
        <v>211</v>
      </c>
      <c r="D7" s="158" t="s">
        <v>219</v>
      </c>
      <c r="E7" s="139">
        <v>4000</v>
      </c>
      <c r="F7" s="138">
        <v>4500</v>
      </c>
      <c r="G7" s="138">
        <f t="shared" si="0"/>
        <v>18000000</v>
      </c>
      <c r="H7" s="138">
        <f t="shared" si="1"/>
        <v>1800000</v>
      </c>
      <c r="I7" s="147"/>
      <c r="J7" s="157"/>
    </row>
    <row r="8" spans="1:10" ht="21" customHeight="1">
      <c r="A8" s="144">
        <v>5</v>
      </c>
      <c r="B8" s="151">
        <v>42697</v>
      </c>
      <c r="C8" s="156" t="s">
        <v>212</v>
      </c>
      <c r="D8" s="145" t="s">
        <v>218</v>
      </c>
      <c r="E8" s="139">
        <v>3353</v>
      </c>
      <c r="F8" s="138">
        <v>4500</v>
      </c>
      <c r="G8" s="138">
        <f t="shared" si="0"/>
        <v>15088500</v>
      </c>
      <c r="H8" s="138">
        <f t="shared" si="1"/>
        <v>1508850</v>
      </c>
      <c r="I8" s="147"/>
      <c r="J8" s="157"/>
    </row>
    <row r="9" spans="1:10" ht="38.25" customHeight="1">
      <c r="A9" s="144">
        <v>6</v>
      </c>
      <c r="B9" s="151">
        <v>42701</v>
      </c>
      <c r="C9" s="156" t="s">
        <v>213</v>
      </c>
      <c r="D9" s="158" t="s">
        <v>220</v>
      </c>
      <c r="E9" s="139">
        <v>4000</v>
      </c>
      <c r="F9" s="138">
        <v>4500</v>
      </c>
      <c r="G9" s="138">
        <f t="shared" si="0"/>
        <v>18000000</v>
      </c>
      <c r="H9" s="138">
        <f t="shared" si="1"/>
        <v>1800000</v>
      </c>
      <c r="I9" s="147"/>
      <c r="J9" s="157"/>
    </row>
    <row r="10" spans="1:10" ht="21" customHeight="1">
      <c r="A10" s="144">
        <v>7</v>
      </c>
      <c r="B10" s="151">
        <v>42702</v>
      </c>
      <c r="C10" s="156" t="s">
        <v>214</v>
      </c>
      <c r="D10" s="145" t="s">
        <v>218</v>
      </c>
      <c r="E10" s="139">
        <v>1700</v>
      </c>
      <c r="F10" s="138">
        <v>4500</v>
      </c>
      <c r="G10" s="138">
        <f t="shared" si="0"/>
        <v>7650000</v>
      </c>
      <c r="H10" s="138">
        <f t="shared" si="1"/>
        <v>765000</v>
      </c>
      <c r="I10" s="147"/>
      <c r="J10" s="157"/>
    </row>
    <row r="11" spans="1:10" ht="21" customHeight="1">
      <c r="A11" s="144">
        <v>8</v>
      </c>
      <c r="B11" s="151">
        <v>42703</v>
      </c>
      <c r="C11" s="156" t="s">
        <v>215</v>
      </c>
      <c r="D11" s="145" t="s">
        <v>218</v>
      </c>
      <c r="E11" s="139">
        <v>4000</v>
      </c>
      <c r="F11" s="138">
        <v>4500</v>
      </c>
      <c r="G11" s="138">
        <f t="shared" si="0"/>
        <v>18000000</v>
      </c>
      <c r="H11" s="138">
        <f t="shared" si="1"/>
        <v>1800000</v>
      </c>
      <c r="I11" s="147"/>
      <c r="J11" s="157"/>
    </row>
    <row r="12" spans="1:10" ht="21" customHeight="1">
      <c r="A12" s="144">
        <v>9</v>
      </c>
      <c r="B12" s="151">
        <v>42705</v>
      </c>
      <c r="C12" s="156" t="s">
        <v>217</v>
      </c>
      <c r="D12" s="145" t="s">
        <v>218</v>
      </c>
      <c r="E12" s="139">
        <v>4000</v>
      </c>
      <c r="F12" s="138">
        <v>4500</v>
      </c>
      <c r="G12" s="138">
        <f t="shared" si="0"/>
        <v>18000000</v>
      </c>
      <c r="H12" s="138">
        <f t="shared" si="1"/>
        <v>1800000</v>
      </c>
      <c r="I12" s="147"/>
      <c r="J12" s="157"/>
    </row>
    <row r="13" spans="1:10" ht="21" customHeight="1">
      <c r="A13" s="144">
        <v>10</v>
      </c>
      <c r="B13" s="151">
        <v>42707</v>
      </c>
      <c r="C13" s="156" t="s">
        <v>216</v>
      </c>
      <c r="D13" s="145" t="s">
        <v>218</v>
      </c>
      <c r="E13" s="139">
        <v>4000</v>
      </c>
      <c r="F13" s="138">
        <v>4500</v>
      </c>
      <c r="G13" s="138">
        <f t="shared" ref="G13" si="2">E13*F13</f>
        <v>18000000</v>
      </c>
      <c r="H13" s="138">
        <f t="shared" si="1"/>
        <v>1800000</v>
      </c>
      <c r="I13" s="147"/>
      <c r="J13" s="157"/>
    </row>
    <row r="14" spans="1:10" ht="21" customHeight="1">
      <c r="A14" s="148"/>
      <c r="B14" s="149"/>
      <c r="C14" s="149"/>
      <c r="D14" s="149"/>
      <c r="E14" s="140"/>
      <c r="F14" s="140"/>
      <c r="G14" s="140"/>
      <c r="H14" s="140"/>
      <c r="I14" s="149"/>
    </row>
    <row r="15" spans="1:10" s="155" customFormat="1" ht="21" customHeight="1">
      <c r="A15" s="897" t="s">
        <v>19</v>
      </c>
      <c r="B15" s="897"/>
      <c r="C15" s="897"/>
      <c r="D15" s="897"/>
      <c r="E15" s="153"/>
      <c r="F15" s="153"/>
      <c r="G15" s="153">
        <f>SUM(G4:G14)</f>
        <v>166288500</v>
      </c>
      <c r="H15" s="153">
        <f>SUM(H4:H14)</f>
        <v>16628850</v>
      </c>
      <c r="I15" s="154"/>
    </row>
    <row r="17" spans="1:10" s="141" customFormat="1" ht="14.25">
      <c r="A17" s="141" t="s">
        <v>221</v>
      </c>
    </row>
    <row r="18" spans="1:10" s="141" customFormat="1" ht="14.25">
      <c r="A18" s="141" t="s">
        <v>222</v>
      </c>
    </row>
    <row r="19" spans="1:10" s="141" customFormat="1" ht="14.25">
      <c r="A19" s="141" t="s">
        <v>223</v>
      </c>
    </row>
    <row r="22" spans="1:10" s="141" customFormat="1" ht="28.5" customHeight="1">
      <c r="A22" s="896" t="s">
        <v>257</v>
      </c>
      <c r="B22" s="896"/>
      <c r="C22" s="896"/>
      <c r="D22" s="896"/>
      <c r="E22" s="896"/>
      <c r="F22" s="896"/>
      <c r="G22" s="896"/>
      <c r="H22" s="896"/>
      <c r="I22" s="896"/>
    </row>
    <row r="23" spans="1:10" s="143" customFormat="1" ht="33.75" customHeight="1">
      <c r="A23" s="142" t="s">
        <v>0</v>
      </c>
      <c r="B23" s="142" t="s">
        <v>205</v>
      </c>
      <c r="C23" s="142" t="s">
        <v>206</v>
      </c>
      <c r="D23" s="142" t="s">
        <v>207</v>
      </c>
      <c r="E23" s="142" t="s">
        <v>7</v>
      </c>
      <c r="F23" s="142" t="s">
        <v>8</v>
      </c>
      <c r="G23" s="142" t="s">
        <v>9</v>
      </c>
      <c r="H23" s="142" t="s">
        <v>269</v>
      </c>
      <c r="I23" s="142" t="s">
        <v>82</v>
      </c>
    </row>
    <row r="24" spans="1:10" ht="21" customHeight="1">
      <c r="A24" s="144">
        <v>1</v>
      </c>
      <c r="B24" s="151">
        <v>42705</v>
      </c>
      <c r="C24" s="152" t="s">
        <v>258</v>
      </c>
      <c r="D24" s="145" t="s">
        <v>218</v>
      </c>
      <c r="E24" s="139">
        <v>2400</v>
      </c>
      <c r="F24" s="138">
        <v>7500</v>
      </c>
      <c r="G24" s="138">
        <f t="shared" ref="G24:G30" si="3">E24*F24</f>
        <v>18000000</v>
      </c>
      <c r="H24" s="138">
        <f t="shared" ref="H24:H30" si="4">G24*10%</f>
        <v>1800000</v>
      </c>
      <c r="I24" s="147"/>
      <c r="J24" s="157"/>
    </row>
    <row r="25" spans="1:10" ht="21" customHeight="1">
      <c r="A25" s="144">
        <v>2</v>
      </c>
      <c r="B25" s="151">
        <v>42706</v>
      </c>
      <c r="C25" s="152" t="s">
        <v>260</v>
      </c>
      <c r="D25" s="145" t="s">
        <v>218</v>
      </c>
      <c r="E25" s="139">
        <v>1600</v>
      </c>
      <c r="F25" s="138">
        <v>7500</v>
      </c>
      <c r="G25" s="138">
        <f t="shared" si="3"/>
        <v>12000000</v>
      </c>
      <c r="H25" s="138">
        <f t="shared" si="4"/>
        <v>1200000</v>
      </c>
      <c r="I25" s="147"/>
      <c r="J25" s="157"/>
    </row>
    <row r="26" spans="1:10" ht="21.75" customHeight="1">
      <c r="A26" s="144">
        <v>3</v>
      </c>
      <c r="B26" s="151">
        <v>42710</v>
      </c>
      <c r="C26" s="152" t="s">
        <v>262</v>
      </c>
      <c r="D26" s="145" t="s">
        <v>218</v>
      </c>
      <c r="E26" s="139">
        <v>2400</v>
      </c>
      <c r="F26" s="138">
        <v>7500</v>
      </c>
      <c r="G26" s="138">
        <f t="shared" si="3"/>
        <v>18000000</v>
      </c>
      <c r="H26" s="138">
        <f t="shared" si="4"/>
        <v>1800000</v>
      </c>
      <c r="I26" s="147"/>
      <c r="J26" s="157"/>
    </row>
    <row r="27" spans="1:10" ht="21.75" customHeight="1">
      <c r="A27" s="144">
        <v>4</v>
      </c>
      <c r="B27" s="151">
        <v>42711</v>
      </c>
      <c r="C27" s="152" t="s">
        <v>261</v>
      </c>
      <c r="D27" s="145" t="s">
        <v>218</v>
      </c>
      <c r="E27" s="139">
        <v>2400</v>
      </c>
      <c r="F27" s="138">
        <v>7500</v>
      </c>
      <c r="G27" s="138">
        <f t="shared" si="3"/>
        <v>18000000</v>
      </c>
      <c r="H27" s="138">
        <f t="shared" si="4"/>
        <v>1800000</v>
      </c>
      <c r="I27" s="147"/>
      <c r="J27" s="157"/>
    </row>
    <row r="28" spans="1:10" ht="21.75" customHeight="1">
      <c r="A28" s="144">
        <v>5</v>
      </c>
      <c r="B28" s="151">
        <v>42709</v>
      </c>
      <c r="C28" s="156" t="s">
        <v>263</v>
      </c>
      <c r="D28" s="145" t="s">
        <v>218</v>
      </c>
      <c r="E28" s="139">
        <v>2400</v>
      </c>
      <c r="F28" s="138">
        <v>7500</v>
      </c>
      <c r="G28" s="138">
        <f t="shared" si="3"/>
        <v>18000000</v>
      </c>
      <c r="H28" s="138">
        <f t="shared" si="4"/>
        <v>1800000</v>
      </c>
      <c r="I28" s="147"/>
      <c r="J28" s="157"/>
    </row>
    <row r="29" spans="1:10" ht="21.75" customHeight="1">
      <c r="A29" s="144">
        <v>6</v>
      </c>
      <c r="B29" s="151">
        <v>42710</v>
      </c>
      <c r="C29" s="156" t="s">
        <v>259</v>
      </c>
      <c r="D29" s="145" t="s">
        <v>218</v>
      </c>
      <c r="E29" s="139">
        <v>2400</v>
      </c>
      <c r="F29" s="138">
        <v>7500</v>
      </c>
      <c r="G29" s="138">
        <f t="shared" si="3"/>
        <v>18000000</v>
      </c>
      <c r="H29" s="138">
        <f t="shared" si="4"/>
        <v>1800000</v>
      </c>
      <c r="I29" s="147"/>
      <c r="J29" s="157"/>
    </row>
    <row r="30" spans="1:10" ht="21.75" customHeight="1">
      <c r="A30" s="144">
        <v>7</v>
      </c>
      <c r="B30" s="151">
        <v>42713</v>
      </c>
      <c r="C30" s="156" t="s">
        <v>264</v>
      </c>
      <c r="D30" s="145" t="s">
        <v>218</v>
      </c>
      <c r="E30" s="139">
        <v>2400</v>
      </c>
      <c r="F30" s="138">
        <v>7500</v>
      </c>
      <c r="G30" s="138">
        <f t="shared" si="3"/>
        <v>18000000</v>
      </c>
      <c r="H30" s="138">
        <f t="shared" si="4"/>
        <v>1800000</v>
      </c>
      <c r="I30" s="147"/>
      <c r="J30" s="157"/>
    </row>
    <row r="31" spans="1:10" ht="21.75" customHeight="1">
      <c r="A31" s="144">
        <v>8</v>
      </c>
      <c r="B31" s="151">
        <v>42714</v>
      </c>
      <c r="C31" s="156" t="s">
        <v>265</v>
      </c>
      <c r="D31" s="145" t="s">
        <v>218</v>
      </c>
      <c r="E31" s="139">
        <v>2400</v>
      </c>
      <c r="F31" s="138">
        <v>7500</v>
      </c>
      <c r="G31" s="138">
        <f t="shared" ref="G31:G33" si="5">E31*F31</f>
        <v>18000000</v>
      </c>
      <c r="H31" s="138">
        <f t="shared" ref="H31:H33" si="6">G31*10%</f>
        <v>1800000</v>
      </c>
      <c r="I31" s="147"/>
      <c r="J31" s="157"/>
    </row>
    <row r="32" spans="1:10" ht="21.75" customHeight="1">
      <c r="A32" s="144">
        <v>9</v>
      </c>
      <c r="B32" s="151">
        <v>42715</v>
      </c>
      <c r="C32" s="156" t="s">
        <v>266</v>
      </c>
      <c r="D32" s="145" t="s">
        <v>218</v>
      </c>
      <c r="E32" s="139">
        <v>2400</v>
      </c>
      <c r="F32" s="138">
        <v>7500</v>
      </c>
      <c r="G32" s="138">
        <f t="shared" si="5"/>
        <v>18000000</v>
      </c>
      <c r="H32" s="138">
        <f t="shared" si="6"/>
        <v>1800000</v>
      </c>
      <c r="I32" s="147"/>
      <c r="J32" s="157"/>
    </row>
    <row r="33" spans="1:10" ht="21.75" customHeight="1">
      <c r="A33" s="144">
        <v>10</v>
      </c>
      <c r="B33" s="151">
        <v>42716</v>
      </c>
      <c r="C33" s="156" t="s">
        <v>267</v>
      </c>
      <c r="D33" s="145" t="s">
        <v>218</v>
      </c>
      <c r="E33" s="139">
        <v>2400</v>
      </c>
      <c r="F33" s="138">
        <v>7500</v>
      </c>
      <c r="G33" s="138">
        <f t="shared" si="5"/>
        <v>18000000</v>
      </c>
      <c r="H33" s="138">
        <f t="shared" si="6"/>
        <v>1800000</v>
      </c>
      <c r="I33" s="147"/>
      <c r="J33" s="157"/>
    </row>
    <row r="34" spans="1:10" ht="21.75" customHeight="1">
      <c r="A34" s="144">
        <v>11</v>
      </c>
      <c r="B34" s="151">
        <v>42716</v>
      </c>
      <c r="C34" s="156" t="s">
        <v>268</v>
      </c>
      <c r="D34" s="145" t="s">
        <v>218</v>
      </c>
      <c r="E34" s="139">
        <v>800</v>
      </c>
      <c r="F34" s="138">
        <v>7500</v>
      </c>
      <c r="G34" s="138">
        <f t="shared" ref="G34" si="7">E34*F34</f>
        <v>6000000</v>
      </c>
      <c r="H34" s="138">
        <f t="shared" ref="H34" si="8">G34*10%</f>
        <v>600000</v>
      </c>
      <c r="I34" s="147"/>
      <c r="J34" s="157"/>
    </row>
    <row r="35" spans="1:10" ht="21" customHeight="1">
      <c r="A35" s="144"/>
      <c r="B35" s="151"/>
      <c r="C35" s="156"/>
      <c r="D35" s="145"/>
      <c r="E35" s="139"/>
      <c r="F35" s="138"/>
      <c r="G35" s="138"/>
      <c r="H35" s="138"/>
      <c r="I35" s="147"/>
    </row>
    <row r="36" spans="1:10" s="155" customFormat="1" ht="21" customHeight="1">
      <c r="A36" s="897" t="s">
        <v>19</v>
      </c>
      <c r="B36" s="897"/>
      <c r="C36" s="897"/>
      <c r="D36" s="897"/>
      <c r="E36" s="153"/>
      <c r="F36" s="153"/>
      <c r="G36" s="153">
        <f>SUM(G24:G35)</f>
        <v>180000000</v>
      </c>
      <c r="H36" s="153">
        <f>SUM(H24:H35)</f>
        <v>18000000</v>
      </c>
      <c r="I36" s="154"/>
    </row>
    <row r="38" spans="1:10" s="141" customFormat="1" ht="14.25">
      <c r="A38" s="141" t="s">
        <v>221</v>
      </c>
    </row>
    <row r="39" spans="1:10" s="141" customFormat="1" ht="14.25">
      <c r="A39" s="141" t="s">
        <v>222</v>
      </c>
    </row>
    <row r="40" spans="1:10" s="141" customFormat="1" ht="14.25">
      <c r="A40" s="141" t="s">
        <v>223</v>
      </c>
    </row>
    <row r="45" spans="1:10" s="141" customFormat="1" ht="28.5" customHeight="1">
      <c r="A45" s="896" t="s">
        <v>314</v>
      </c>
      <c r="B45" s="896"/>
      <c r="C45" s="896"/>
      <c r="D45" s="896"/>
      <c r="E45" s="896"/>
      <c r="F45" s="896"/>
      <c r="G45" s="896"/>
      <c r="H45" s="896"/>
      <c r="I45" s="896"/>
    </row>
    <row r="46" spans="1:10" s="143" customFormat="1" ht="33.75" customHeight="1">
      <c r="A46" s="142" t="s">
        <v>0</v>
      </c>
      <c r="B46" s="142" t="s">
        <v>205</v>
      </c>
      <c r="C46" s="142" t="s">
        <v>206</v>
      </c>
      <c r="D46" s="142" t="s">
        <v>207</v>
      </c>
      <c r="E46" s="142" t="s">
        <v>7</v>
      </c>
      <c r="F46" s="142" t="s">
        <v>8</v>
      </c>
      <c r="G46" s="142" t="s">
        <v>9</v>
      </c>
      <c r="H46" s="142" t="s">
        <v>269</v>
      </c>
      <c r="I46" s="142" t="s">
        <v>82</v>
      </c>
    </row>
    <row r="47" spans="1:10" ht="21" customHeight="1">
      <c r="A47" s="144">
        <v>1</v>
      </c>
      <c r="B47" s="151">
        <v>42716</v>
      </c>
      <c r="C47" s="152" t="s">
        <v>309</v>
      </c>
      <c r="D47" s="145" t="s">
        <v>218</v>
      </c>
      <c r="E47" s="139">
        <v>2400</v>
      </c>
      <c r="F47" s="138">
        <v>7500</v>
      </c>
      <c r="G47" s="138">
        <f t="shared" ref="G47:G56" si="9">E47*F47</f>
        <v>18000000</v>
      </c>
      <c r="H47" s="138">
        <f t="shared" ref="H47:H56" si="10">G47*10%</f>
        <v>1800000</v>
      </c>
      <c r="I47" s="147"/>
      <c r="J47" s="157"/>
    </row>
    <row r="48" spans="1:10" ht="21" customHeight="1">
      <c r="A48" s="144">
        <v>2</v>
      </c>
      <c r="B48" s="151">
        <v>42717</v>
      </c>
      <c r="C48" s="152" t="s">
        <v>310</v>
      </c>
      <c r="D48" s="145" t="s">
        <v>218</v>
      </c>
      <c r="E48" s="139">
        <v>2400</v>
      </c>
      <c r="F48" s="138">
        <v>7500</v>
      </c>
      <c r="G48" s="138">
        <f t="shared" si="9"/>
        <v>18000000</v>
      </c>
      <c r="H48" s="138">
        <f t="shared" si="10"/>
        <v>1800000</v>
      </c>
      <c r="I48" s="147"/>
      <c r="J48" s="157"/>
    </row>
    <row r="49" spans="1:10" ht="21.75" customHeight="1">
      <c r="A49" s="144">
        <v>3</v>
      </c>
      <c r="B49" s="151">
        <v>42718</v>
      </c>
      <c r="C49" s="152" t="s">
        <v>311</v>
      </c>
      <c r="D49" s="145" t="s">
        <v>218</v>
      </c>
      <c r="E49" s="139">
        <v>2400</v>
      </c>
      <c r="F49" s="138">
        <v>7500</v>
      </c>
      <c r="G49" s="138">
        <f t="shared" si="9"/>
        <v>18000000</v>
      </c>
      <c r="H49" s="138">
        <f t="shared" si="10"/>
        <v>1800000</v>
      </c>
      <c r="I49" s="147"/>
      <c r="J49" s="157"/>
    </row>
    <row r="50" spans="1:10" ht="21.75" customHeight="1">
      <c r="A50" s="144">
        <v>4</v>
      </c>
      <c r="B50" s="151">
        <v>42719</v>
      </c>
      <c r="C50" s="152" t="s">
        <v>304</v>
      </c>
      <c r="D50" s="145" t="s">
        <v>218</v>
      </c>
      <c r="E50" s="139">
        <v>2400</v>
      </c>
      <c r="F50" s="138">
        <v>7500</v>
      </c>
      <c r="G50" s="138">
        <f t="shared" si="9"/>
        <v>18000000</v>
      </c>
      <c r="H50" s="138">
        <f t="shared" si="10"/>
        <v>1800000</v>
      </c>
      <c r="I50" s="147"/>
      <c r="J50" s="157"/>
    </row>
    <row r="51" spans="1:10" ht="21.75" customHeight="1">
      <c r="A51" s="144">
        <v>5</v>
      </c>
      <c r="B51" s="151">
        <v>42719</v>
      </c>
      <c r="C51" s="152" t="s">
        <v>312</v>
      </c>
      <c r="D51" s="145" t="s">
        <v>218</v>
      </c>
      <c r="E51" s="139">
        <v>2400</v>
      </c>
      <c r="F51" s="138">
        <v>7500</v>
      </c>
      <c r="G51" s="138">
        <f t="shared" si="9"/>
        <v>18000000</v>
      </c>
      <c r="H51" s="138">
        <f t="shared" si="10"/>
        <v>1800000</v>
      </c>
      <c r="I51" s="147"/>
      <c r="J51" s="157"/>
    </row>
    <row r="52" spans="1:10" ht="21.75" customHeight="1">
      <c r="A52" s="144">
        <v>6</v>
      </c>
      <c r="B52" s="151">
        <v>42720</v>
      </c>
      <c r="C52" s="156" t="s">
        <v>305</v>
      </c>
      <c r="D52" s="145" t="s">
        <v>218</v>
      </c>
      <c r="E52" s="139">
        <v>2400</v>
      </c>
      <c r="F52" s="138">
        <v>7500</v>
      </c>
      <c r="G52" s="138">
        <f t="shared" si="9"/>
        <v>18000000</v>
      </c>
      <c r="H52" s="138">
        <f t="shared" si="10"/>
        <v>1800000</v>
      </c>
      <c r="I52" s="147"/>
      <c r="J52" s="157"/>
    </row>
    <row r="53" spans="1:10" ht="21.75" customHeight="1">
      <c r="A53" s="144">
        <v>7</v>
      </c>
      <c r="B53" s="151">
        <v>42720</v>
      </c>
      <c r="C53" s="156" t="s">
        <v>313</v>
      </c>
      <c r="D53" s="145" t="s">
        <v>218</v>
      </c>
      <c r="E53" s="139">
        <v>2400</v>
      </c>
      <c r="F53" s="138">
        <v>7500</v>
      </c>
      <c r="G53" s="138">
        <f t="shared" si="9"/>
        <v>18000000</v>
      </c>
      <c r="H53" s="138">
        <f t="shared" si="10"/>
        <v>1800000</v>
      </c>
      <c r="I53" s="147"/>
      <c r="J53" s="157"/>
    </row>
    <row r="54" spans="1:10" ht="21.75" customHeight="1">
      <c r="A54" s="144">
        <v>8</v>
      </c>
      <c r="B54" s="151">
        <v>42721</v>
      </c>
      <c r="C54" s="156" t="s">
        <v>306</v>
      </c>
      <c r="D54" s="145" t="s">
        <v>218</v>
      </c>
      <c r="E54" s="139">
        <v>2400</v>
      </c>
      <c r="F54" s="138">
        <v>7500</v>
      </c>
      <c r="G54" s="138">
        <f t="shared" si="9"/>
        <v>18000000</v>
      </c>
      <c r="H54" s="138">
        <f t="shared" si="10"/>
        <v>1800000</v>
      </c>
      <c r="I54" s="147"/>
      <c r="J54" s="157"/>
    </row>
    <row r="55" spans="1:10" ht="21.75" customHeight="1">
      <c r="A55" s="144">
        <v>9</v>
      </c>
      <c r="B55" s="151">
        <v>42722</v>
      </c>
      <c r="C55" s="156" t="s">
        <v>307</v>
      </c>
      <c r="D55" s="145" t="s">
        <v>218</v>
      </c>
      <c r="E55" s="139">
        <v>2400</v>
      </c>
      <c r="F55" s="138">
        <v>7500</v>
      </c>
      <c r="G55" s="138">
        <f t="shared" si="9"/>
        <v>18000000</v>
      </c>
      <c r="H55" s="138">
        <f t="shared" si="10"/>
        <v>1800000</v>
      </c>
      <c r="I55" s="147"/>
      <c r="J55" s="157"/>
    </row>
    <row r="56" spans="1:10" ht="21.75" customHeight="1">
      <c r="A56" s="144">
        <v>10</v>
      </c>
      <c r="B56" s="151">
        <v>42723</v>
      </c>
      <c r="C56" s="156" t="s">
        <v>308</v>
      </c>
      <c r="D56" s="145" t="s">
        <v>218</v>
      </c>
      <c r="E56" s="139">
        <v>2400</v>
      </c>
      <c r="F56" s="138">
        <v>7500</v>
      </c>
      <c r="G56" s="138">
        <f t="shared" si="9"/>
        <v>18000000</v>
      </c>
      <c r="H56" s="138">
        <f t="shared" si="10"/>
        <v>1800000</v>
      </c>
      <c r="I56" s="147"/>
      <c r="J56" s="157"/>
    </row>
    <row r="57" spans="1:10" ht="21" customHeight="1">
      <c r="A57" s="144"/>
      <c r="B57" s="151"/>
      <c r="C57" s="156"/>
      <c r="D57" s="145"/>
      <c r="E57" s="139"/>
      <c r="F57" s="138"/>
      <c r="G57" s="138"/>
      <c r="H57" s="138"/>
      <c r="I57" s="147"/>
    </row>
    <row r="58" spans="1:10" s="155" customFormat="1" ht="21" customHeight="1">
      <c r="A58" s="897" t="s">
        <v>19</v>
      </c>
      <c r="B58" s="897"/>
      <c r="C58" s="897"/>
      <c r="D58" s="897"/>
      <c r="E58" s="153">
        <f>SUM(E47:E57)</f>
        <v>24000</v>
      </c>
      <c r="F58" s="153"/>
      <c r="G58" s="153">
        <f>SUM(G47:G57)</f>
        <v>180000000</v>
      </c>
      <c r="H58" s="153">
        <f>SUM(H47:H57)</f>
        <v>18000000</v>
      </c>
      <c r="I58" s="154"/>
    </row>
    <row r="60" spans="1:10" s="141" customFormat="1" ht="14.25">
      <c r="A60" s="141" t="s">
        <v>221</v>
      </c>
    </row>
    <row r="61" spans="1:10" s="141" customFormat="1" ht="14.25">
      <c r="A61" s="141" t="s">
        <v>222</v>
      </c>
    </row>
    <row r="62" spans="1:10" s="141" customFormat="1" ht="14.25">
      <c r="A62" s="141" t="s">
        <v>223</v>
      </c>
    </row>
    <row r="67" spans="1:10" s="141" customFormat="1" ht="28.5" customHeight="1">
      <c r="A67" s="896" t="s">
        <v>327</v>
      </c>
      <c r="B67" s="896"/>
      <c r="C67" s="896"/>
      <c r="D67" s="896"/>
      <c r="E67" s="896"/>
      <c r="F67" s="896"/>
      <c r="G67" s="896"/>
      <c r="H67" s="896"/>
      <c r="I67" s="896"/>
    </row>
    <row r="68" spans="1:10" s="143" customFormat="1" ht="33.75" customHeight="1">
      <c r="A68" s="142" t="s">
        <v>0</v>
      </c>
      <c r="B68" s="142" t="s">
        <v>205</v>
      </c>
      <c r="C68" s="142" t="s">
        <v>206</v>
      </c>
      <c r="D68" s="142" t="s">
        <v>207</v>
      </c>
      <c r="E68" s="142" t="s">
        <v>7</v>
      </c>
      <c r="F68" s="142" t="s">
        <v>8</v>
      </c>
      <c r="G68" s="142" t="s">
        <v>9</v>
      </c>
      <c r="H68" s="142" t="s">
        <v>269</v>
      </c>
      <c r="I68" s="142" t="s">
        <v>82</v>
      </c>
    </row>
    <row r="69" spans="1:10" ht="21" customHeight="1">
      <c r="A69" s="144">
        <v>1</v>
      </c>
      <c r="B69" s="151">
        <v>42721</v>
      </c>
      <c r="C69" s="152" t="s">
        <v>337</v>
      </c>
      <c r="D69" s="145" t="s">
        <v>218</v>
      </c>
      <c r="E69" s="139">
        <v>180</v>
      </c>
      <c r="F69" s="138">
        <v>7500</v>
      </c>
      <c r="G69" s="138">
        <f t="shared" ref="G69:G83" si="11">E69*F69</f>
        <v>1350000</v>
      </c>
      <c r="H69" s="138">
        <f t="shared" ref="H69:H83" si="12">G69*10%</f>
        <v>135000</v>
      </c>
      <c r="I69" s="147"/>
      <c r="J69" s="157"/>
    </row>
    <row r="70" spans="1:10" ht="21" customHeight="1">
      <c r="A70" s="144">
        <v>2</v>
      </c>
      <c r="B70" s="151">
        <v>42724</v>
      </c>
      <c r="C70" s="152" t="s">
        <v>328</v>
      </c>
      <c r="D70" s="145" t="s">
        <v>218</v>
      </c>
      <c r="E70" s="139">
        <v>2400</v>
      </c>
      <c r="F70" s="138">
        <v>7500</v>
      </c>
      <c r="G70" s="138">
        <f t="shared" si="11"/>
        <v>18000000</v>
      </c>
      <c r="H70" s="138">
        <f t="shared" si="12"/>
        <v>1800000</v>
      </c>
      <c r="I70" s="147"/>
      <c r="J70" s="157"/>
    </row>
    <row r="71" spans="1:10" ht="21.75" customHeight="1">
      <c r="A71" s="144">
        <v>3</v>
      </c>
      <c r="B71" s="151">
        <v>42724</v>
      </c>
      <c r="C71" s="152" t="s">
        <v>338</v>
      </c>
      <c r="D71" s="145" t="s">
        <v>218</v>
      </c>
      <c r="E71" s="139">
        <v>2400</v>
      </c>
      <c r="F71" s="138">
        <v>7500</v>
      </c>
      <c r="G71" s="138">
        <f t="shared" si="11"/>
        <v>18000000</v>
      </c>
      <c r="H71" s="138">
        <f t="shared" si="12"/>
        <v>1800000</v>
      </c>
      <c r="I71" s="147"/>
      <c r="J71" s="157"/>
    </row>
    <row r="72" spans="1:10" ht="21.75" customHeight="1">
      <c r="A72" s="144">
        <v>4</v>
      </c>
      <c r="B72" s="151">
        <v>42725</v>
      </c>
      <c r="C72" s="152" t="s">
        <v>329</v>
      </c>
      <c r="D72" s="145" t="s">
        <v>218</v>
      </c>
      <c r="E72" s="139">
        <v>2400</v>
      </c>
      <c r="F72" s="138">
        <v>7500</v>
      </c>
      <c r="G72" s="138">
        <f t="shared" si="11"/>
        <v>18000000</v>
      </c>
      <c r="H72" s="138">
        <f t="shared" si="12"/>
        <v>1800000</v>
      </c>
      <c r="I72" s="147"/>
      <c r="J72" s="157"/>
    </row>
    <row r="73" spans="1:10" ht="21.75" customHeight="1">
      <c r="A73" s="144">
        <v>5</v>
      </c>
      <c r="B73" s="151">
        <v>42725</v>
      </c>
      <c r="C73" s="152" t="s">
        <v>339</v>
      </c>
      <c r="D73" s="145" t="s">
        <v>218</v>
      </c>
      <c r="E73" s="139">
        <v>2400</v>
      </c>
      <c r="F73" s="138">
        <v>7500</v>
      </c>
      <c r="G73" s="138">
        <f t="shared" si="11"/>
        <v>18000000</v>
      </c>
      <c r="H73" s="138">
        <f t="shared" si="12"/>
        <v>1800000</v>
      </c>
      <c r="I73" s="147"/>
      <c r="J73" s="157"/>
    </row>
    <row r="74" spans="1:10" ht="21.75" customHeight="1">
      <c r="A74" s="144">
        <v>6</v>
      </c>
      <c r="B74" s="151">
        <v>42726</v>
      </c>
      <c r="C74" s="156" t="s">
        <v>330</v>
      </c>
      <c r="D74" s="145" t="s">
        <v>218</v>
      </c>
      <c r="E74" s="139">
        <v>550</v>
      </c>
      <c r="F74" s="138">
        <v>7500</v>
      </c>
      <c r="G74" s="138">
        <f t="shared" si="11"/>
        <v>4125000</v>
      </c>
      <c r="H74" s="138">
        <f t="shared" si="12"/>
        <v>412500</v>
      </c>
      <c r="I74" s="147"/>
      <c r="J74" s="157"/>
    </row>
    <row r="75" spans="1:10" ht="21.75" customHeight="1">
      <c r="A75" s="144">
        <v>7</v>
      </c>
      <c r="B75" s="151">
        <v>42726</v>
      </c>
      <c r="C75" s="156" t="s">
        <v>340</v>
      </c>
      <c r="D75" s="145" t="s">
        <v>218</v>
      </c>
      <c r="E75" s="139">
        <v>1939</v>
      </c>
      <c r="F75" s="138">
        <v>7500</v>
      </c>
      <c r="G75" s="138">
        <f t="shared" si="11"/>
        <v>14542500</v>
      </c>
      <c r="H75" s="138">
        <f t="shared" si="12"/>
        <v>1454250</v>
      </c>
      <c r="I75" s="147"/>
      <c r="J75" s="157"/>
    </row>
    <row r="76" spans="1:10" ht="21.75" customHeight="1">
      <c r="A76" s="144">
        <v>8</v>
      </c>
      <c r="B76" s="151">
        <v>42727</v>
      </c>
      <c r="C76" s="156" t="s">
        <v>331</v>
      </c>
      <c r="D76" s="145" t="s">
        <v>218</v>
      </c>
      <c r="E76" s="139">
        <v>2400</v>
      </c>
      <c r="F76" s="138">
        <v>7500</v>
      </c>
      <c r="G76" s="138">
        <f t="shared" si="11"/>
        <v>18000000</v>
      </c>
      <c r="H76" s="138">
        <f t="shared" si="12"/>
        <v>1800000</v>
      </c>
      <c r="I76" s="147"/>
      <c r="J76" s="157"/>
    </row>
    <row r="77" spans="1:10" ht="21.75" customHeight="1">
      <c r="A77" s="144">
        <v>9</v>
      </c>
      <c r="B77" s="151">
        <v>42728</v>
      </c>
      <c r="C77" s="156" t="s">
        <v>332</v>
      </c>
      <c r="D77" s="145" t="s">
        <v>218</v>
      </c>
      <c r="E77" s="139">
        <v>2400</v>
      </c>
      <c r="F77" s="138">
        <v>7500</v>
      </c>
      <c r="G77" s="138">
        <f t="shared" si="11"/>
        <v>18000000</v>
      </c>
      <c r="H77" s="138">
        <f t="shared" si="12"/>
        <v>1800000</v>
      </c>
      <c r="I77" s="147"/>
      <c r="J77" s="157"/>
    </row>
    <row r="78" spans="1:10" ht="21.75" customHeight="1">
      <c r="A78" s="144">
        <v>10</v>
      </c>
      <c r="B78" s="151">
        <v>42728</v>
      </c>
      <c r="C78" s="156" t="s">
        <v>341</v>
      </c>
      <c r="D78" s="145" t="s">
        <v>218</v>
      </c>
      <c r="E78" s="139">
        <v>2400</v>
      </c>
      <c r="F78" s="138">
        <v>7500</v>
      </c>
      <c r="G78" s="138">
        <f t="shared" si="11"/>
        <v>18000000</v>
      </c>
      <c r="H78" s="138">
        <f t="shared" si="12"/>
        <v>1800000</v>
      </c>
      <c r="I78" s="147"/>
      <c r="J78" s="157"/>
    </row>
    <row r="79" spans="1:10" ht="21.75" customHeight="1">
      <c r="A79" s="144">
        <v>11</v>
      </c>
      <c r="B79" s="151">
        <v>42729</v>
      </c>
      <c r="C79" s="156" t="s">
        <v>333</v>
      </c>
      <c r="D79" s="145" t="s">
        <v>218</v>
      </c>
      <c r="E79" s="139">
        <v>2400</v>
      </c>
      <c r="F79" s="138">
        <v>7500</v>
      </c>
      <c r="G79" s="138">
        <f t="shared" si="11"/>
        <v>18000000</v>
      </c>
      <c r="H79" s="138">
        <f t="shared" si="12"/>
        <v>1800000</v>
      </c>
      <c r="I79" s="147"/>
      <c r="J79" s="157"/>
    </row>
    <row r="80" spans="1:10" ht="21.75" customHeight="1">
      <c r="A80" s="144">
        <v>12</v>
      </c>
      <c r="B80" s="151">
        <v>42730</v>
      </c>
      <c r="C80" s="156" t="s">
        <v>334</v>
      </c>
      <c r="D80" s="145" t="s">
        <v>218</v>
      </c>
      <c r="E80" s="139">
        <v>1200</v>
      </c>
      <c r="F80" s="138">
        <v>7500</v>
      </c>
      <c r="G80" s="138">
        <f t="shared" si="11"/>
        <v>9000000</v>
      </c>
      <c r="H80" s="138">
        <f t="shared" si="12"/>
        <v>900000</v>
      </c>
      <c r="I80" s="147"/>
      <c r="J80" s="157"/>
    </row>
    <row r="81" spans="1:10" ht="21.75" customHeight="1">
      <c r="A81" s="144">
        <v>13</v>
      </c>
      <c r="B81" s="151">
        <v>42731</v>
      </c>
      <c r="C81" s="156" t="s">
        <v>335</v>
      </c>
      <c r="D81" s="145" t="s">
        <v>218</v>
      </c>
      <c r="E81" s="139">
        <v>1380</v>
      </c>
      <c r="F81" s="138">
        <v>7500</v>
      </c>
      <c r="G81" s="138">
        <f t="shared" si="11"/>
        <v>10350000</v>
      </c>
      <c r="H81" s="138">
        <f t="shared" si="12"/>
        <v>1035000</v>
      </c>
      <c r="I81" s="147"/>
      <c r="J81" s="157"/>
    </row>
    <row r="82" spans="1:10" ht="21.75" customHeight="1">
      <c r="A82" s="144">
        <v>14</v>
      </c>
      <c r="B82" s="151">
        <v>42731</v>
      </c>
      <c r="C82" s="156" t="s">
        <v>342</v>
      </c>
      <c r="D82" s="145" t="s">
        <v>218</v>
      </c>
      <c r="E82" s="139">
        <v>2030</v>
      </c>
      <c r="F82" s="138">
        <v>7500</v>
      </c>
      <c r="G82" s="138">
        <f t="shared" si="11"/>
        <v>15225000</v>
      </c>
      <c r="H82" s="138">
        <f t="shared" si="12"/>
        <v>1522500</v>
      </c>
      <c r="I82" s="147"/>
      <c r="J82" s="157"/>
    </row>
    <row r="83" spans="1:10" ht="21.75" customHeight="1">
      <c r="A83" s="144">
        <v>15</v>
      </c>
      <c r="B83" s="151">
        <v>42732</v>
      </c>
      <c r="C83" s="156" t="s">
        <v>336</v>
      </c>
      <c r="D83" s="145" t="s">
        <v>218</v>
      </c>
      <c r="E83" s="139">
        <v>2030</v>
      </c>
      <c r="F83" s="138">
        <v>7500</v>
      </c>
      <c r="G83" s="138">
        <f t="shared" si="11"/>
        <v>15225000</v>
      </c>
      <c r="H83" s="138">
        <f t="shared" si="12"/>
        <v>1522500</v>
      </c>
      <c r="I83" s="147"/>
      <c r="J83" s="157"/>
    </row>
    <row r="84" spans="1:10" ht="21" customHeight="1">
      <c r="A84" s="144"/>
      <c r="B84" s="151"/>
      <c r="C84" s="156"/>
      <c r="D84" s="145"/>
      <c r="E84" s="139"/>
      <c r="F84" s="138"/>
      <c r="G84" s="138"/>
      <c r="H84" s="138"/>
      <c r="I84" s="147"/>
    </row>
    <row r="85" spans="1:10" s="155" customFormat="1" ht="21" customHeight="1">
      <c r="A85" s="897" t="s">
        <v>19</v>
      </c>
      <c r="B85" s="897"/>
      <c r="C85" s="897"/>
      <c r="D85" s="897"/>
      <c r="E85" s="153">
        <f>SUM(E69:E84)</f>
        <v>28509</v>
      </c>
      <c r="F85" s="153"/>
      <c r="G85" s="153">
        <f>SUM(G69:G84)</f>
        <v>213817500</v>
      </c>
      <c r="H85" s="153">
        <f>SUM(H69:H84)</f>
        <v>21381750</v>
      </c>
      <c r="I85" s="154"/>
    </row>
    <row r="87" spans="1:10" s="141" customFormat="1" ht="14.25">
      <c r="A87" s="141" t="s">
        <v>221</v>
      </c>
    </row>
    <row r="88" spans="1:10" s="141" customFormat="1" ht="14.25">
      <c r="A88" s="141" t="s">
        <v>222</v>
      </c>
    </row>
    <row r="89" spans="1:10" s="141" customFormat="1" ht="14.25">
      <c r="A89" s="141" t="s">
        <v>223</v>
      </c>
    </row>
  </sheetData>
  <sortState ref="A69:J85">
    <sortCondition ref="B69:B85"/>
  </sortState>
  <mergeCells count="8">
    <mergeCell ref="A67:I67"/>
    <mergeCell ref="A85:D85"/>
    <mergeCell ref="A58:D58"/>
    <mergeCell ref="A2:I2"/>
    <mergeCell ref="A15:D15"/>
    <mergeCell ref="A22:I22"/>
    <mergeCell ref="A36:D36"/>
    <mergeCell ref="A45:I45"/>
  </mergeCells>
  <pageMargins left="0.72" right="0.13" top="0.16" bottom="0.16" header="0.3" footer="0.3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C.THANH MN</vt:lpstr>
      <vt:lpstr>KIM CHÂU</vt:lpstr>
      <vt:lpstr>M. TRÍ CM</vt:lpstr>
      <vt:lpstr>HUNAM - 2017</vt:lpstr>
      <vt:lpstr>HUNAM - CT-2017</vt:lpstr>
      <vt:lpstr>TD-TQ 2016</vt:lpstr>
      <vt:lpstr>CT-2016</vt:lpstr>
      <vt:lpstr>GC - TQ 2016</vt:lpstr>
      <vt:lpstr>BSHĐ - 2016</vt:lpstr>
      <vt:lpstr>ZHOUSHAN - 2017</vt:lpstr>
      <vt:lpstr>ZHOUSHAN - CT-2017</vt:lpstr>
      <vt:lpstr>HUNAM (MB) - 2018</vt:lpstr>
      <vt:lpstr>HUNAM (MB) - CT-2018</vt:lpstr>
      <vt:lpstr>BSHĐ - 2017</vt:lpstr>
      <vt:lpstr>CP-TQ</vt:lpstr>
      <vt:lpstr>Sheet1</vt:lpstr>
      <vt:lpstr>ZHOUSHAN - CT-2017 (2)</vt:lpstr>
      <vt:lpstr>'BSHĐ - 2016'!Print_Area</vt:lpstr>
      <vt:lpstr>'BSHĐ - 2017'!Print_Area</vt:lpstr>
      <vt:lpstr>'C.THANH MN'!Print_Area</vt:lpstr>
      <vt:lpstr>'CT-2016'!Print_Area</vt:lpstr>
      <vt:lpstr>'HUNAM - CT-2017'!Print_Area</vt:lpstr>
      <vt:lpstr>'HUNAM (MB) - 2018'!Print_Area</vt:lpstr>
      <vt:lpstr>'HUNAM (MB) - CT-2018'!Print_Area</vt:lpstr>
      <vt:lpstr>Sheet1!Print_Area</vt:lpstr>
      <vt:lpstr>'ZHOUSHAN - 2017'!Print_Area</vt:lpstr>
      <vt:lpstr>'ZHOUSHAN - CT-2017'!Print_Area</vt:lpstr>
      <vt:lpstr>'HUNAM - 2017'!Print_Titles</vt:lpstr>
      <vt:lpstr>'HUNAM (MB) - 2018'!Print_Titles</vt:lpstr>
      <vt:lpstr>'TD-TQ 2016'!Print_Titles</vt:lpstr>
      <vt:lpstr>'ZHOUSHAN - 2017'!Print_Titles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2018-03-28T03:50:39Z</cp:lastPrinted>
  <dcterms:created xsi:type="dcterms:W3CDTF">2016-10-31T06:49:38Z</dcterms:created>
  <dcterms:modified xsi:type="dcterms:W3CDTF">2018-03-28T04:25:41Z</dcterms:modified>
</cp:coreProperties>
</file>