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615" windowWidth="14820" windowHeight="820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TH!$S$10:$S$1288</definedName>
    <definedName name="_C112">TH!$V$10:$V$1288</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TH!$A$9:$AA$1166</definedName>
    <definedName name="_xlnm._FilterDatabase" localSheetId="20" hidden="1">TK!$A$1:$J$1</definedName>
    <definedName name="_N111">TH!$R$10:$R$1288</definedName>
    <definedName name="_N112">TH!$U$10:$U$1288</definedName>
    <definedName name="_TH">TH!$K$10:$K$1288</definedName>
    <definedName name="DG">TH!$J$10:$J$1288</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'331'!$B$4:$B$52</definedName>
    <definedName name="DSKU">'341'!$B$5:$B$33</definedName>
    <definedName name="DSNL">NXT!$N$12:$S$557</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TH!$H$10:$H$1288</definedName>
    <definedName name="KHC">TH!$O$10:$O$1288</definedName>
    <definedName name="KHN">TH!$N$10:$N$1288</definedName>
    <definedName name="Loai">OFFSET(TH!$P$5,,,COUNTA(TH!$P$5:$P$39598))</definedName>
    <definedName name="Loai1">OFFSET(TH!$Q$5,,,COUNTA(TH!$Q$5:$Q$39598))</definedName>
    <definedName name="Loai10">OFFSET(TH!$AD$5,,,COUNTA(TH!$AD$5:$AD$39598))</definedName>
    <definedName name="Loai11">OFFSET(TH!$Y$5,,,COUNTA(TH!$Y$5:$Y$39598))</definedName>
    <definedName name="Loai2">OFFSET(TH!$T$5,,,COUNTA(TH!$T$5:$T$39598))</definedName>
    <definedName name="Loai3">OFFSET('SO-TS'!$P$13,,,COUNTA('SO-TS'!$P$13:$P$3935))</definedName>
    <definedName name="Loai4">OFFSET(TH!$W$5,,,COUNTA(TH!$W$5:$W$39598))</definedName>
    <definedName name="Loai5">OFFSET(TH!$X$5,,,COUNTA(TH!$X$5:$X$39598))</definedName>
    <definedName name="Loai6">OFFSET(TH!$Z$5,,,COUNTA(TH!$Z$5:$Z$39598))</definedName>
    <definedName name="Loai7">OFFSET(TH!$AA$5,,,COUNTA(TH!$AA$5:$AA$39598))</definedName>
    <definedName name="Loai8">OFFSET(TH!$AB$5,,,COUNTA(TH!$AB$5:$AB$39598))</definedName>
    <definedName name="Loai9">OFFSET(TH!$AC$5,,,COUNTA(TH!$AC$5:$AC$39598))</definedName>
    <definedName name="MH">TH!$F$10:$F$1288</definedName>
    <definedName name="NXT">NXT!$A$12:$A$383</definedName>
    <definedName name="_xlnm.Print_Area" localSheetId="8">'111'!$A$1:$J$120</definedName>
    <definedName name="_xlnm.Print_Area" localSheetId="9">'112'!$A$1:$I$99</definedName>
    <definedName name="_xlnm.Print_Area" localSheetId="19">'152-CT'!$B$2:$M$37</definedName>
    <definedName name="_xlnm.Print_Area" localSheetId="12">'331'!$A$1:$H$53</definedName>
    <definedName name="_xlnm.Print_Area" localSheetId="13">'331-CT'!$A$1:$J$54</definedName>
    <definedName name="_xlnm.Print_Area" localSheetId="14">'341'!$A$1:$P$34</definedName>
    <definedName name="_xlnm.Print_Area" localSheetId="15">'341-CT'!$A$1:$N$41</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TH!$I$10:$I$1288</definedName>
    <definedName name="TH">TH!$M$10:$M$1288</definedName>
    <definedName name="TM">TH!$A$10:$O$1288</definedName>
  </definedNames>
  <calcPr calcId="124519"/>
</workbook>
</file>

<file path=xl/calcChain.xml><?xml version="1.0" encoding="utf-8"?>
<calcChain xmlns="http://schemas.openxmlformats.org/spreadsheetml/2006/main">
  <c r="B1133" i="34"/>
  <c r="A1133" s="1"/>
  <c r="P1133"/>
  <c r="Q1133"/>
  <c r="S1133"/>
  <c r="T1133"/>
  <c r="U1133"/>
  <c r="V1133"/>
  <c r="W1133"/>
  <c r="X1133"/>
  <c r="Y1133"/>
  <c r="AA1133"/>
  <c r="AB1133"/>
  <c r="AC1133"/>
  <c r="AD1133"/>
  <c r="B1130"/>
  <c r="A1130" s="1"/>
  <c r="P1130"/>
  <c r="Q1130"/>
  <c r="S1130"/>
  <c r="T1130"/>
  <c r="U1130"/>
  <c r="V1130"/>
  <c r="W1130"/>
  <c r="X1130"/>
  <c r="Y1130"/>
  <c r="AA1130"/>
  <c r="AB1130"/>
  <c r="AC1130"/>
  <c r="AD1130"/>
  <c r="B1118"/>
  <c r="A1118" s="1"/>
  <c r="P1118"/>
  <c r="Q1118"/>
  <c r="S1118"/>
  <c r="T1118"/>
  <c r="U1118"/>
  <c r="V1118"/>
  <c r="W1118"/>
  <c r="X1118"/>
  <c r="Y1118"/>
  <c r="AA1118"/>
  <c r="AB1118"/>
  <c r="AC1118"/>
  <c r="AD1118"/>
  <c r="B1115"/>
  <c r="A1115" s="1"/>
  <c r="P1115"/>
  <c r="Q1115"/>
  <c r="R1115"/>
  <c r="S1115"/>
  <c r="T1115"/>
  <c r="U1115"/>
  <c r="V1115"/>
  <c r="W1115"/>
  <c r="X1115"/>
  <c r="Y1115"/>
  <c r="AA1115"/>
  <c r="AB1115"/>
  <c r="AC1115"/>
  <c r="AD1115"/>
  <c r="B1111"/>
  <c r="A1111" s="1"/>
  <c r="P1111"/>
  <c r="Q1111"/>
  <c r="S1111"/>
  <c r="T1111"/>
  <c r="U1111"/>
  <c r="V1111"/>
  <c r="W1111"/>
  <c r="X1111"/>
  <c r="Y1111"/>
  <c r="AA1111"/>
  <c r="AB1111"/>
  <c r="AC1111"/>
  <c r="AD1111"/>
  <c r="B1109"/>
  <c r="A1109" s="1"/>
  <c r="P1109"/>
  <c r="Q1109"/>
  <c r="S1109"/>
  <c r="T1109"/>
  <c r="U1109"/>
  <c r="V1109"/>
  <c r="W1109"/>
  <c r="X1109"/>
  <c r="Y1109"/>
  <c r="AA1109"/>
  <c r="AB1109"/>
  <c r="AC1109"/>
  <c r="AD1109"/>
  <c r="B1107"/>
  <c r="A1107" s="1"/>
  <c r="P1107"/>
  <c r="Q1107"/>
  <c r="S1107"/>
  <c r="T1107"/>
  <c r="U1107"/>
  <c r="V1107"/>
  <c r="W1107"/>
  <c r="X1107"/>
  <c r="Y1107"/>
  <c r="AA1107"/>
  <c r="AB1107"/>
  <c r="AC1107"/>
  <c r="AD1107"/>
  <c r="B1104"/>
  <c r="A1104" s="1"/>
  <c r="P1104"/>
  <c r="Q1104"/>
  <c r="S1104"/>
  <c r="T1104"/>
  <c r="U1104"/>
  <c r="V1104"/>
  <c r="W1104"/>
  <c r="X1104"/>
  <c r="Y1104"/>
  <c r="AA1104"/>
  <c r="AB1104"/>
  <c r="AC1104"/>
  <c r="AD1104"/>
  <c r="B1099"/>
  <c r="A1099" s="1"/>
  <c r="P1099"/>
  <c r="Q1099"/>
  <c r="S1099"/>
  <c r="T1099"/>
  <c r="U1099"/>
  <c r="V1099"/>
  <c r="W1099"/>
  <c r="X1099"/>
  <c r="Y1099"/>
  <c r="AA1099"/>
  <c r="AB1099"/>
  <c r="AC1099"/>
  <c r="AD1099"/>
  <c r="B1090"/>
  <c r="A1090" s="1"/>
  <c r="P1090"/>
  <c r="Q1090"/>
  <c r="S1090"/>
  <c r="T1090"/>
  <c r="U1090"/>
  <c r="V1090"/>
  <c r="W1090"/>
  <c r="Y1090"/>
  <c r="AA1090"/>
  <c r="AB1090"/>
  <c r="AC1090"/>
  <c r="AD1090"/>
  <c r="B1091"/>
  <c r="A1091" s="1"/>
  <c r="P1091"/>
  <c r="Q1091"/>
  <c r="S1091"/>
  <c r="U1091"/>
  <c r="W1091"/>
  <c r="Y1091"/>
  <c r="AA1091"/>
  <c r="AB1091"/>
  <c r="AC1091"/>
  <c r="AD1091"/>
  <c r="B1092"/>
  <c r="A1092" s="1"/>
  <c r="P1092"/>
  <c r="Q1092"/>
  <c r="S1092"/>
  <c r="U1092"/>
  <c r="W1092"/>
  <c r="Y1092"/>
  <c r="AA1092"/>
  <c r="AB1092"/>
  <c r="AC1092"/>
  <c r="AD1092"/>
  <c r="B1093"/>
  <c r="A1093" s="1"/>
  <c r="P1093"/>
  <c r="Q1093"/>
  <c r="S1093"/>
  <c r="U1093"/>
  <c r="W1093"/>
  <c r="Y1093"/>
  <c r="AA1093"/>
  <c r="AB1093"/>
  <c r="AC1093"/>
  <c r="AD1093"/>
  <c r="B1094"/>
  <c r="A1094" s="1"/>
  <c r="P1094"/>
  <c r="Q1094"/>
  <c r="S1094"/>
  <c r="U1094"/>
  <c r="W1094"/>
  <c r="Y1094"/>
  <c r="AA1094"/>
  <c r="AB1094"/>
  <c r="AC1094"/>
  <c r="AD1094"/>
  <c r="B1095"/>
  <c r="A1095" s="1"/>
  <c r="P1095"/>
  <c r="Q1095"/>
  <c r="S1095"/>
  <c r="U1095"/>
  <c r="W1095"/>
  <c r="Y1095"/>
  <c r="AA1095"/>
  <c r="AB1095"/>
  <c r="AC1095"/>
  <c r="AD1095"/>
  <c r="B1096"/>
  <c r="A1096" s="1"/>
  <c r="P1096"/>
  <c r="Q1096"/>
  <c r="S1096"/>
  <c r="U1096"/>
  <c r="W1096"/>
  <c r="Y1096"/>
  <c r="AA1096"/>
  <c r="AB1096"/>
  <c r="AC1096"/>
  <c r="AD1096"/>
  <c r="B1097"/>
  <c r="A1097" s="1"/>
  <c r="P1097"/>
  <c r="Q1097"/>
  <c r="U1097"/>
  <c r="W1097"/>
  <c r="Y1097"/>
  <c r="AA1097"/>
  <c r="AB1097"/>
  <c r="AC1097"/>
  <c r="AD1097"/>
  <c r="R1133" l="1"/>
  <c r="R1130"/>
  <c r="R1118"/>
  <c r="R1111"/>
  <c r="R1109"/>
  <c r="R1107"/>
  <c r="R1104"/>
  <c r="R1099"/>
  <c r="S1097"/>
  <c r="V1097"/>
  <c r="T1097"/>
  <c r="R1097"/>
  <c r="V1096"/>
  <c r="T1096"/>
  <c r="R1096"/>
  <c r="V1095"/>
  <c r="T1095"/>
  <c r="R1095"/>
  <c r="V1094"/>
  <c r="T1094"/>
  <c r="R1094"/>
  <c r="V1093"/>
  <c r="T1093"/>
  <c r="R1093"/>
  <c r="V1092"/>
  <c r="T1092"/>
  <c r="R1092"/>
  <c r="V1091"/>
  <c r="T1091"/>
  <c r="R1091"/>
  <c r="R1090"/>
  <c r="C961"/>
  <c r="B961" s="1"/>
  <c r="P961"/>
  <c r="T961"/>
  <c r="U961"/>
  <c r="V961"/>
  <c r="W961"/>
  <c r="Y961"/>
  <c r="AA961"/>
  <c r="AB961"/>
  <c r="AC961"/>
  <c r="AD961"/>
  <c r="B1082"/>
  <c r="A1082" s="1"/>
  <c r="P1082"/>
  <c r="Q1082"/>
  <c r="T1082"/>
  <c r="U1082"/>
  <c r="V1082"/>
  <c r="W1082"/>
  <c r="Y1082"/>
  <c r="AA1082"/>
  <c r="AB1082"/>
  <c r="AC1082"/>
  <c r="AD1082"/>
  <c r="AC1077"/>
  <c r="AB1077"/>
  <c r="AA1077"/>
  <c r="Y1077"/>
  <c r="W1077"/>
  <c r="V1077"/>
  <c r="U1077"/>
  <c r="T1077"/>
  <c r="P1077"/>
  <c r="K1077"/>
  <c r="M1077" s="1"/>
  <c r="AD1077"/>
  <c r="B1077"/>
  <c r="S1077" s="1"/>
  <c r="AC1079"/>
  <c r="AB1079"/>
  <c r="AA1079"/>
  <c r="Y1079"/>
  <c r="W1079"/>
  <c r="V1079"/>
  <c r="U1079"/>
  <c r="T1079"/>
  <c r="P1079"/>
  <c r="K1079"/>
  <c r="M1079" s="1"/>
  <c r="B1079"/>
  <c r="AC1078"/>
  <c r="AB1078"/>
  <c r="AA1078"/>
  <c r="Y1078"/>
  <c r="W1078"/>
  <c r="V1078"/>
  <c r="U1078"/>
  <c r="T1078"/>
  <c r="P1078"/>
  <c r="K1078"/>
  <c r="M1078" s="1"/>
  <c r="AD1078"/>
  <c r="B1078"/>
  <c r="S1078" s="1"/>
  <c r="A961" l="1"/>
  <c r="R961"/>
  <c r="S961"/>
  <c r="Q961"/>
  <c r="S1082"/>
  <c r="R1082"/>
  <c r="R1079"/>
  <c r="S1079"/>
  <c r="Q1079"/>
  <c r="A1079"/>
  <c r="R1078"/>
  <c r="AD1079"/>
  <c r="R1077"/>
  <c r="A1078"/>
  <c r="Q1078"/>
  <c r="A1077"/>
  <c r="Q1077"/>
  <c r="C1076"/>
  <c r="AD1076" s="1"/>
  <c r="C807"/>
  <c r="C808"/>
  <c r="AD808" s="1"/>
  <c r="C809"/>
  <c r="C810"/>
  <c r="AD810" s="1"/>
  <c r="C806"/>
  <c r="C1066"/>
  <c r="C1067"/>
  <c r="C1068"/>
  <c r="B1068" s="1"/>
  <c r="Q1068" s="1"/>
  <c r="C1069"/>
  <c r="C1070"/>
  <c r="B1070" s="1"/>
  <c r="Q1070" s="1"/>
  <c r="C1071"/>
  <c r="C1072"/>
  <c r="B1072" s="1"/>
  <c r="Q1072" s="1"/>
  <c r="C1073"/>
  <c r="C1074"/>
  <c r="B1074" s="1"/>
  <c r="Q1074" s="1"/>
  <c r="C1075"/>
  <c r="AD1075" s="1"/>
  <c r="C1057"/>
  <c r="B1057" s="1"/>
  <c r="Q1057" s="1"/>
  <c r="C1058"/>
  <c r="C1059"/>
  <c r="AD1059" s="1"/>
  <c r="C1060"/>
  <c r="C1061"/>
  <c r="AD1061" s="1"/>
  <c r="C1062"/>
  <c r="C1063"/>
  <c r="AD1063" s="1"/>
  <c r="C1064"/>
  <c r="C1065"/>
  <c r="AD1065" s="1"/>
  <c r="C1044"/>
  <c r="C1045"/>
  <c r="B1045" s="1"/>
  <c r="Q1045" s="1"/>
  <c r="C1046"/>
  <c r="AD1046" s="1"/>
  <c r="C1047"/>
  <c r="AD1047" s="1"/>
  <c r="C1048"/>
  <c r="C1049"/>
  <c r="AD1049" s="1"/>
  <c r="C1050"/>
  <c r="AD1050" s="1"/>
  <c r="C1051"/>
  <c r="B1051" s="1"/>
  <c r="Q1051" s="1"/>
  <c r="C1052"/>
  <c r="C1053"/>
  <c r="AD1053" s="1"/>
  <c r="C1054"/>
  <c r="B1054" s="1"/>
  <c r="Q1054" s="1"/>
  <c r="C1055"/>
  <c r="B1055" s="1"/>
  <c r="Q1055" s="1"/>
  <c r="C1056"/>
  <c r="AD967"/>
  <c r="AC967"/>
  <c r="AB967"/>
  <c r="AA967"/>
  <c r="Y967"/>
  <c r="W967"/>
  <c r="V967"/>
  <c r="U967"/>
  <c r="T967"/>
  <c r="P967"/>
  <c r="B967"/>
  <c r="Q967" s="1"/>
  <c r="AC1022"/>
  <c r="AB1022"/>
  <c r="AA1022"/>
  <c r="Y1022"/>
  <c r="W1022"/>
  <c r="P1022"/>
  <c r="C1022"/>
  <c r="AD1022" s="1"/>
  <c r="AC1021"/>
  <c r="AB1021"/>
  <c r="AA1021"/>
  <c r="Y1021"/>
  <c r="W1021"/>
  <c r="P1021"/>
  <c r="C1021"/>
  <c r="B1021" s="1"/>
  <c r="AC1024"/>
  <c r="AB1024"/>
  <c r="AA1024"/>
  <c r="Y1024"/>
  <c r="W1024"/>
  <c r="P1024"/>
  <c r="C1024"/>
  <c r="AD1024" s="1"/>
  <c r="AC1023"/>
  <c r="AB1023"/>
  <c r="AA1023"/>
  <c r="Y1023"/>
  <c r="W1023"/>
  <c r="P1023"/>
  <c r="C1023"/>
  <c r="B1023" s="1"/>
  <c r="AC1017"/>
  <c r="AB1017"/>
  <c r="AA1017"/>
  <c r="Y1017"/>
  <c r="W1017"/>
  <c r="P1017"/>
  <c r="C1017"/>
  <c r="AD1017" s="1"/>
  <c r="AC1016"/>
  <c r="AB1016"/>
  <c r="AA1016"/>
  <c r="Y1016"/>
  <c r="W1016"/>
  <c r="P1016"/>
  <c r="C1016"/>
  <c r="B1016" s="1"/>
  <c r="C1033"/>
  <c r="B1033" s="1"/>
  <c r="Q1033" s="1"/>
  <c r="C1034"/>
  <c r="AD1034" s="1"/>
  <c r="C1035"/>
  <c r="C1036"/>
  <c r="B1036" s="1"/>
  <c r="Q1036" s="1"/>
  <c r="C1037"/>
  <c r="B1037" s="1"/>
  <c r="C1038"/>
  <c r="B1038" s="1"/>
  <c r="Q1038" s="1"/>
  <c r="C1039"/>
  <c r="AD1039" s="1"/>
  <c r="C1040"/>
  <c r="B1040" s="1"/>
  <c r="Q1040" s="1"/>
  <c r="C1041"/>
  <c r="AD1041" s="1"/>
  <c r="C1042"/>
  <c r="B1042" s="1"/>
  <c r="Q1042" s="1"/>
  <c r="C1043"/>
  <c r="C1031"/>
  <c r="AD1031" s="1"/>
  <c r="C1032"/>
  <c r="B1032" s="1"/>
  <c r="Q1032" s="1"/>
  <c r="C1025"/>
  <c r="AD1025" s="1"/>
  <c r="AC1020"/>
  <c r="AB1020"/>
  <c r="AA1020"/>
  <c r="Y1020"/>
  <c r="W1020"/>
  <c r="P1020"/>
  <c r="C1020"/>
  <c r="AD1020" s="1"/>
  <c r="AC1019"/>
  <c r="AB1019"/>
  <c r="AA1019"/>
  <c r="Y1019"/>
  <c r="W1019"/>
  <c r="P1019"/>
  <c r="C1019"/>
  <c r="B1019" s="1"/>
  <c r="AC1015"/>
  <c r="AB1015"/>
  <c r="AA1015"/>
  <c r="Y1015"/>
  <c r="W1015"/>
  <c r="P1015"/>
  <c r="C1015"/>
  <c r="AD1015" s="1"/>
  <c r="AC1014"/>
  <c r="AB1014"/>
  <c r="AA1014"/>
  <c r="Y1014"/>
  <c r="W1014"/>
  <c r="P1014"/>
  <c r="C1014"/>
  <c r="AD1014" s="1"/>
  <c r="C1030"/>
  <c r="C1029"/>
  <c r="AD1029" s="1"/>
  <c r="C1028"/>
  <c r="B1028" s="1"/>
  <c r="C1027"/>
  <c r="AD1027" s="1"/>
  <c r="C1026"/>
  <c r="C1018"/>
  <c r="B1018" s="1"/>
  <c r="Q1018" s="1"/>
  <c r="C1013"/>
  <c r="AD1013" s="1"/>
  <c r="AC1011"/>
  <c r="AB1011"/>
  <c r="AA1011"/>
  <c r="Y1011"/>
  <c r="W1011"/>
  <c r="P1011"/>
  <c r="M1011"/>
  <c r="C1011"/>
  <c r="AD1011" s="1"/>
  <c r="AC1012"/>
  <c r="AB1012"/>
  <c r="AA1012"/>
  <c r="Y1012"/>
  <c r="W1012"/>
  <c r="P1012"/>
  <c r="M1012"/>
  <c r="C1012"/>
  <c r="AD1012" s="1"/>
  <c r="AC1010"/>
  <c r="AB1010"/>
  <c r="AA1010"/>
  <c r="Y1010"/>
  <c r="W1010"/>
  <c r="V1010"/>
  <c r="U1010"/>
  <c r="T1010"/>
  <c r="P1010"/>
  <c r="C1010"/>
  <c r="AD1010" s="1"/>
  <c r="AC1000"/>
  <c r="AB1000"/>
  <c r="AA1000"/>
  <c r="Y1000"/>
  <c r="W1000"/>
  <c r="P1000"/>
  <c r="C1000"/>
  <c r="AD1000" s="1"/>
  <c r="AC1007"/>
  <c r="AB1007"/>
  <c r="AA1007"/>
  <c r="Y1007"/>
  <c r="W1007"/>
  <c r="P1007"/>
  <c r="M1007"/>
  <c r="C1007"/>
  <c r="AD1007" s="1"/>
  <c r="AC1002"/>
  <c r="AB1002"/>
  <c r="AA1002"/>
  <c r="Y1002"/>
  <c r="W1002"/>
  <c r="P1002"/>
  <c r="M1002"/>
  <c r="C1002"/>
  <c r="AD1002" s="1"/>
  <c r="AC1001"/>
  <c r="AB1001"/>
  <c r="AA1001"/>
  <c r="Y1001"/>
  <c r="W1001"/>
  <c r="P1001"/>
  <c r="M1001"/>
  <c r="C1001"/>
  <c r="AD1001" s="1"/>
  <c r="C1009"/>
  <c r="AC997"/>
  <c r="AB997"/>
  <c r="AA997"/>
  <c r="Y997"/>
  <c r="W997"/>
  <c r="P997"/>
  <c r="M997"/>
  <c r="C997"/>
  <c r="AD997" s="1"/>
  <c r="AC999"/>
  <c r="AB999"/>
  <c r="AA999"/>
  <c r="Y999"/>
  <c r="W999"/>
  <c r="P999"/>
  <c r="M999"/>
  <c r="C999"/>
  <c r="AD999" s="1"/>
  <c r="AC998"/>
  <c r="AB998"/>
  <c r="AA998"/>
  <c r="Y998"/>
  <c r="W998"/>
  <c r="P998"/>
  <c r="M998"/>
  <c r="C998"/>
  <c r="AD998" s="1"/>
  <c r="AC963"/>
  <c r="AB963"/>
  <c r="AA963"/>
  <c r="Y963"/>
  <c r="W963"/>
  <c r="V963"/>
  <c r="U963"/>
  <c r="T963"/>
  <c r="P963"/>
  <c r="C963"/>
  <c r="AD963" s="1"/>
  <c r="AC962"/>
  <c r="AB962"/>
  <c r="AA962"/>
  <c r="Y962"/>
  <c r="W962"/>
  <c r="V962"/>
  <c r="U962"/>
  <c r="T962"/>
  <c r="P962"/>
  <c r="C962"/>
  <c r="B962" s="1"/>
  <c r="AC958"/>
  <c r="AB958"/>
  <c r="AA958"/>
  <c r="Y958"/>
  <c r="W958"/>
  <c r="V958"/>
  <c r="U958"/>
  <c r="T958"/>
  <c r="P958"/>
  <c r="C958"/>
  <c r="AD958" s="1"/>
  <c r="AC957"/>
  <c r="AB957"/>
  <c r="AA957"/>
  <c r="Y957"/>
  <c r="W957"/>
  <c r="V957"/>
  <c r="U957"/>
  <c r="T957"/>
  <c r="P957"/>
  <c r="C957"/>
  <c r="B957" s="1"/>
  <c r="AC950"/>
  <c r="AB950"/>
  <c r="AA950"/>
  <c r="Y950"/>
  <c r="W950"/>
  <c r="V950"/>
  <c r="U950"/>
  <c r="T950"/>
  <c r="P950"/>
  <c r="C950"/>
  <c r="AD950" s="1"/>
  <c r="AC949"/>
  <c r="AB949"/>
  <c r="AA949"/>
  <c r="Y949"/>
  <c r="W949"/>
  <c r="V949"/>
  <c r="U949"/>
  <c r="T949"/>
  <c r="P949"/>
  <c r="C949"/>
  <c r="B949" s="1"/>
  <c r="C944"/>
  <c r="AD944" s="1"/>
  <c r="C943"/>
  <c r="B943" s="1"/>
  <c r="Q943" s="1"/>
  <c r="AC944"/>
  <c r="AB944"/>
  <c r="AA944"/>
  <c r="Y944"/>
  <c r="W944"/>
  <c r="V944"/>
  <c r="U944"/>
  <c r="T944"/>
  <c r="P944"/>
  <c r="AC943"/>
  <c r="AB943"/>
  <c r="AA943"/>
  <c r="Y943"/>
  <c r="W943"/>
  <c r="V943"/>
  <c r="U943"/>
  <c r="T943"/>
  <c r="P943"/>
  <c r="AD964"/>
  <c r="AC964"/>
  <c r="AB964"/>
  <c r="AA964"/>
  <c r="Y964"/>
  <c r="W964"/>
  <c r="V964"/>
  <c r="U964"/>
  <c r="T964"/>
  <c r="P964"/>
  <c r="B964"/>
  <c r="Q964" s="1"/>
  <c r="AC948"/>
  <c r="AB948"/>
  <c r="AA948"/>
  <c r="Y948"/>
  <c r="W948"/>
  <c r="V948"/>
  <c r="U948"/>
  <c r="T948"/>
  <c r="P948"/>
  <c r="C948"/>
  <c r="AD948" s="1"/>
  <c r="AC947"/>
  <c r="AB947"/>
  <c r="AA947"/>
  <c r="Y947"/>
  <c r="W947"/>
  <c r="V947"/>
  <c r="U947"/>
  <c r="T947"/>
  <c r="P947"/>
  <c r="C947"/>
  <c r="B947" s="1"/>
  <c r="AC946"/>
  <c r="AB946"/>
  <c r="AA946"/>
  <c r="Y946"/>
  <c r="W946"/>
  <c r="V946"/>
  <c r="U946"/>
  <c r="T946"/>
  <c r="P946"/>
  <c r="C946"/>
  <c r="AD946" s="1"/>
  <c r="AC945"/>
  <c r="AB945"/>
  <c r="AA945"/>
  <c r="Y945"/>
  <c r="W945"/>
  <c r="V945"/>
  <c r="U945"/>
  <c r="T945"/>
  <c r="P945"/>
  <c r="C945"/>
  <c r="B945" s="1"/>
  <c r="C960"/>
  <c r="AD960" s="1"/>
  <c r="C959"/>
  <c r="AD959" s="1"/>
  <c r="AC960"/>
  <c r="AB960"/>
  <c r="AA960"/>
  <c r="Y960"/>
  <c r="W960"/>
  <c r="V960"/>
  <c r="U960"/>
  <c r="T960"/>
  <c r="P960"/>
  <c r="AC959"/>
  <c r="AB959"/>
  <c r="AA959"/>
  <c r="Y959"/>
  <c r="W959"/>
  <c r="V959"/>
  <c r="U959"/>
  <c r="T959"/>
  <c r="P959"/>
  <c r="C954"/>
  <c r="AD954" s="1"/>
  <c r="C953"/>
  <c r="B953" s="1"/>
  <c r="S953" s="1"/>
  <c r="AC954"/>
  <c r="AB954"/>
  <c r="AA954"/>
  <c r="Y954"/>
  <c r="W954"/>
  <c r="V954"/>
  <c r="U954"/>
  <c r="T954"/>
  <c r="P954"/>
  <c r="AC953"/>
  <c r="AB953"/>
  <c r="AA953"/>
  <c r="Y953"/>
  <c r="W953"/>
  <c r="V953"/>
  <c r="U953"/>
  <c r="T953"/>
  <c r="P953"/>
  <c r="AD966"/>
  <c r="AC966"/>
  <c r="AB966"/>
  <c r="AA966"/>
  <c r="Y966"/>
  <c r="W966"/>
  <c r="V966"/>
  <c r="U966"/>
  <c r="T966"/>
  <c r="P966"/>
  <c r="B966"/>
  <c r="Q966" s="1"/>
  <c r="AD965"/>
  <c r="AC965"/>
  <c r="AB965"/>
  <c r="AA965"/>
  <c r="Y965"/>
  <c r="W965"/>
  <c r="V965"/>
  <c r="U965"/>
  <c r="T965"/>
  <c r="P965"/>
  <c r="B965"/>
  <c r="Q965" s="1"/>
  <c r="M986"/>
  <c r="M987"/>
  <c r="M988"/>
  <c r="M989"/>
  <c r="M990"/>
  <c r="M992"/>
  <c r="M994"/>
  <c r="M985"/>
  <c r="C993"/>
  <c r="C994"/>
  <c r="AD994" s="1"/>
  <c r="C995"/>
  <c r="AD995" s="1"/>
  <c r="C992"/>
  <c r="AC995"/>
  <c r="AB995"/>
  <c r="AA995"/>
  <c r="Y995"/>
  <c r="W995"/>
  <c r="V995"/>
  <c r="U995"/>
  <c r="T995"/>
  <c r="P995"/>
  <c r="AC994"/>
  <c r="AB994"/>
  <c r="AA994"/>
  <c r="Y994"/>
  <c r="W994"/>
  <c r="V994"/>
  <c r="U994"/>
  <c r="T994"/>
  <c r="P994"/>
  <c r="AC1040"/>
  <c r="AB1040"/>
  <c r="AA1040"/>
  <c r="Y1040"/>
  <c r="W1040"/>
  <c r="P1040"/>
  <c r="AC1039"/>
  <c r="AB1039"/>
  <c r="AA1039"/>
  <c r="Y1039"/>
  <c r="W1039"/>
  <c r="P1039"/>
  <c r="B1039"/>
  <c r="Q1039" s="1"/>
  <c r="AC1038"/>
  <c r="AB1038"/>
  <c r="AA1038"/>
  <c r="Y1038"/>
  <c r="W1038"/>
  <c r="P1038"/>
  <c r="AD1037"/>
  <c r="AC1037"/>
  <c r="AB1037"/>
  <c r="AA1037"/>
  <c r="Y1037"/>
  <c r="W1037"/>
  <c r="P1037"/>
  <c r="AC1036"/>
  <c r="AB1036"/>
  <c r="AA1036"/>
  <c r="Y1036"/>
  <c r="W1036"/>
  <c r="P1036"/>
  <c r="AD1035"/>
  <c r="AC1035"/>
  <c r="AB1035"/>
  <c r="AA1035"/>
  <c r="Y1035"/>
  <c r="W1035"/>
  <c r="P1035"/>
  <c r="B1035"/>
  <c r="Q1035" s="1"/>
  <c r="AC1034"/>
  <c r="AB1034"/>
  <c r="AA1034"/>
  <c r="Y1034"/>
  <c r="W1034"/>
  <c r="P1034"/>
  <c r="AD1033"/>
  <c r="AC1033"/>
  <c r="AB1033"/>
  <c r="AA1033"/>
  <c r="Y1033"/>
  <c r="W1033"/>
  <c r="P1033"/>
  <c r="AD1032"/>
  <c r="AC1032"/>
  <c r="AB1032"/>
  <c r="AA1032"/>
  <c r="Y1032"/>
  <c r="W1032"/>
  <c r="P1032"/>
  <c r="AC1031"/>
  <c r="AB1031"/>
  <c r="AA1031"/>
  <c r="Y1031"/>
  <c r="W1031"/>
  <c r="P1031"/>
  <c r="AD1030"/>
  <c r="AC1030"/>
  <c r="AB1030"/>
  <c r="AA1030"/>
  <c r="Y1030"/>
  <c r="W1030"/>
  <c r="P1030"/>
  <c r="B1030"/>
  <c r="Q1030" s="1"/>
  <c r="AC1029"/>
  <c r="AB1029"/>
  <c r="AA1029"/>
  <c r="Y1029"/>
  <c r="W1029"/>
  <c r="P1029"/>
  <c r="AC1028"/>
  <c r="AB1028"/>
  <c r="AA1028"/>
  <c r="Y1028"/>
  <c r="W1028"/>
  <c r="P1028"/>
  <c r="AC1027"/>
  <c r="AB1027"/>
  <c r="AA1027"/>
  <c r="Y1027"/>
  <c r="W1027"/>
  <c r="P1027"/>
  <c r="B1027"/>
  <c r="Q1027" s="1"/>
  <c r="AD1026"/>
  <c r="AC1026"/>
  <c r="AB1026"/>
  <c r="AA1026"/>
  <c r="Y1026"/>
  <c r="W1026"/>
  <c r="P1026"/>
  <c r="B1026"/>
  <c r="Q1026" s="1"/>
  <c r="AC1025"/>
  <c r="AB1025"/>
  <c r="AA1025"/>
  <c r="Y1025"/>
  <c r="W1025"/>
  <c r="P1025"/>
  <c r="AC1018"/>
  <c r="AB1018"/>
  <c r="AA1018"/>
  <c r="Y1018"/>
  <c r="W1018"/>
  <c r="P1018"/>
  <c r="AC1013"/>
  <c r="AB1013"/>
  <c r="AA1013"/>
  <c r="Y1013"/>
  <c r="W1013"/>
  <c r="P1013"/>
  <c r="AD1058"/>
  <c r="AC1058"/>
  <c r="AB1058"/>
  <c r="AA1058"/>
  <c r="Y1058"/>
  <c r="W1058"/>
  <c r="P1058"/>
  <c r="B1058"/>
  <c r="Q1058" s="1"/>
  <c r="AD1057"/>
  <c r="AC1057"/>
  <c r="AB1057"/>
  <c r="AA1057"/>
  <c r="Y1057"/>
  <c r="W1057"/>
  <c r="P1057"/>
  <c r="AD1056"/>
  <c r="AC1056"/>
  <c r="AB1056"/>
  <c r="AA1056"/>
  <c r="Y1056"/>
  <c r="W1056"/>
  <c r="P1056"/>
  <c r="B1056"/>
  <c r="Q1056" s="1"/>
  <c r="AD1055"/>
  <c r="AC1055"/>
  <c r="AB1055"/>
  <c r="AA1055"/>
  <c r="Y1055"/>
  <c r="W1055"/>
  <c r="P1055"/>
  <c r="AD1054"/>
  <c r="AC1054"/>
  <c r="AB1054"/>
  <c r="AA1054"/>
  <c r="Y1054"/>
  <c r="W1054"/>
  <c r="P1054"/>
  <c r="AC1053"/>
  <c r="AB1053"/>
  <c r="AA1053"/>
  <c r="Y1053"/>
  <c r="W1053"/>
  <c r="P1053"/>
  <c r="AD1052"/>
  <c r="AC1052"/>
  <c r="AB1052"/>
  <c r="AA1052"/>
  <c r="Y1052"/>
  <c r="W1052"/>
  <c r="P1052"/>
  <c r="B1052"/>
  <c r="Q1052" s="1"/>
  <c r="AD1051"/>
  <c r="AC1051"/>
  <c r="AB1051"/>
  <c r="AA1051"/>
  <c r="Y1051"/>
  <c r="W1051"/>
  <c r="P1051"/>
  <c r="AC1050"/>
  <c r="AB1050"/>
  <c r="AA1050"/>
  <c r="Y1050"/>
  <c r="W1050"/>
  <c r="P1050"/>
  <c r="B1050"/>
  <c r="Q1050" s="1"/>
  <c r="AC1049"/>
  <c r="AB1049"/>
  <c r="AA1049"/>
  <c r="Y1049"/>
  <c r="W1049"/>
  <c r="P1049"/>
  <c r="B1049"/>
  <c r="Q1049" s="1"/>
  <c r="AD1048"/>
  <c r="AC1048"/>
  <c r="AB1048"/>
  <c r="AA1048"/>
  <c r="Y1048"/>
  <c r="W1048"/>
  <c r="P1048"/>
  <c r="B1048"/>
  <c r="Q1048" s="1"/>
  <c r="AC1047"/>
  <c r="AB1047"/>
  <c r="AA1047"/>
  <c r="Y1047"/>
  <c r="W1047"/>
  <c r="P1047"/>
  <c r="B1047"/>
  <c r="Q1047" s="1"/>
  <c r="AC1046"/>
  <c r="AB1046"/>
  <c r="AA1046"/>
  <c r="Y1046"/>
  <c r="W1046"/>
  <c r="P1046"/>
  <c r="B1046"/>
  <c r="Q1046" s="1"/>
  <c r="AD1045"/>
  <c r="AC1045"/>
  <c r="AB1045"/>
  <c r="AA1045"/>
  <c r="Y1045"/>
  <c r="W1045"/>
  <c r="P1045"/>
  <c r="AD1044"/>
  <c r="AC1044"/>
  <c r="AB1044"/>
  <c r="AA1044"/>
  <c r="Y1044"/>
  <c r="W1044"/>
  <c r="P1044"/>
  <c r="B1044"/>
  <c r="Q1044" s="1"/>
  <c r="AD1043"/>
  <c r="AC1043"/>
  <c r="AB1043"/>
  <c r="AA1043"/>
  <c r="Y1043"/>
  <c r="W1043"/>
  <c r="P1043"/>
  <c r="B1043"/>
  <c r="Q1043" s="1"/>
  <c r="AD1042"/>
  <c r="AC1042"/>
  <c r="AB1042"/>
  <c r="AA1042"/>
  <c r="Y1042"/>
  <c r="W1042"/>
  <c r="P1042"/>
  <c r="AC1041"/>
  <c r="AB1041"/>
  <c r="AA1041"/>
  <c r="Y1041"/>
  <c r="W1041"/>
  <c r="P1041"/>
  <c r="B1041"/>
  <c r="Q1041" s="1"/>
  <c r="AC1076"/>
  <c r="AB1076"/>
  <c r="AA1076"/>
  <c r="Y1076"/>
  <c r="W1076"/>
  <c r="V1076"/>
  <c r="U1076"/>
  <c r="T1076"/>
  <c r="P1076"/>
  <c r="AC1075"/>
  <c r="AB1075"/>
  <c r="AA1075"/>
  <c r="Y1075"/>
  <c r="W1075"/>
  <c r="P1075"/>
  <c r="AD1074"/>
  <c r="AC1074"/>
  <c r="AB1074"/>
  <c r="AA1074"/>
  <c r="Y1074"/>
  <c r="W1074"/>
  <c r="P1074"/>
  <c r="AD1073"/>
  <c r="AC1073"/>
  <c r="AB1073"/>
  <c r="AA1073"/>
  <c r="Y1073"/>
  <c r="W1073"/>
  <c r="P1073"/>
  <c r="B1073"/>
  <c r="Q1073" s="1"/>
  <c r="AD1072"/>
  <c r="AC1072"/>
  <c r="AB1072"/>
  <c r="AA1072"/>
  <c r="Y1072"/>
  <c r="W1072"/>
  <c r="P1072"/>
  <c r="AD1071"/>
  <c r="AC1071"/>
  <c r="AB1071"/>
  <c r="AA1071"/>
  <c r="Y1071"/>
  <c r="W1071"/>
  <c r="P1071"/>
  <c r="B1071"/>
  <c r="Q1071" s="1"/>
  <c r="AD1070"/>
  <c r="AC1070"/>
  <c r="AB1070"/>
  <c r="AA1070"/>
  <c r="Y1070"/>
  <c r="W1070"/>
  <c r="P1070"/>
  <c r="AD1069"/>
  <c r="AC1069"/>
  <c r="AB1069"/>
  <c r="AA1069"/>
  <c r="Y1069"/>
  <c r="W1069"/>
  <c r="P1069"/>
  <c r="B1069"/>
  <c r="Q1069" s="1"/>
  <c r="AD1068"/>
  <c r="AC1068"/>
  <c r="AB1068"/>
  <c r="AA1068"/>
  <c r="Y1068"/>
  <c r="W1068"/>
  <c r="P1068"/>
  <c r="AD1067"/>
  <c r="AC1067"/>
  <c r="AB1067"/>
  <c r="AA1067"/>
  <c r="Y1067"/>
  <c r="W1067"/>
  <c r="P1067"/>
  <c r="B1067"/>
  <c r="Q1067" s="1"/>
  <c r="AD1066"/>
  <c r="AC1066"/>
  <c r="AB1066"/>
  <c r="AA1066"/>
  <c r="Y1066"/>
  <c r="W1066"/>
  <c r="T1066"/>
  <c r="P1066"/>
  <c r="B1066"/>
  <c r="Q1066" s="1"/>
  <c r="AC1065"/>
  <c r="AB1065"/>
  <c r="AA1065"/>
  <c r="Y1065"/>
  <c r="W1065"/>
  <c r="P1065"/>
  <c r="B1065"/>
  <c r="Q1065" s="1"/>
  <c r="AD1064"/>
  <c r="AC1064"/>
  <c r="AB1064"/>
  <c r="AA1064"/>
  <c r="Y1064"/>
  <c r="W1064"/>
  <c r="P1064"/>
  <c r="B1064"/>
  <c r="Q1064" s="1"/>
  <c r="AC1063"/>
  <c r="AB1063"/>
  <c r="AA1063"/>
  <c r="Y1063"/>
  <c r="W1063"/>
  <c r="P1063"/>
  <c r="B1063"/>
  <c r="Q1063" s="1"/>
  <c r="AD1062"/>
  <c r="AC1062"/>
  <c r="AB1062"/>
  <c r="AA1062"/>
  <c r="Y1062"/>
  <c r="W1062"/>
  <c r="P1062"/>
  <c r="B1062"/>
  <c r="Q1062" s="1"/>
  <c r="AC1061"/>
  <c r="AB1061"/>
  <c r="AA1061"/>
  <c r="Y1061"/>
  <c r="W1061"/>
  <c r="P1061"/>
  <c r="B1061"/>
  <c r="Q1061" s="1"/>
  <c r="AD1060"/>
  <c r="AC1060"/>
  <c r="AB1060"/>
  <c r="AA1060"/>
  <c r="Y1060"/>
  <c r="W1060"/>
  <c r="P1060"/>
  <c r="B1060"/>
  <c r="Q1060" s="1"/>
  <c r="AC1059"/>
  <c r="AB1059"/>
  <c r="AA1059"/>
  <c r="Y1059"/>
  <c r="W1059"/>
  <c r="P1059"/>
  <c r="B1059"/>
  <c r="Q1059" s="1"/>
  <c r="AD1089"/>
  <c r="AC1089"/>
  <c r="AB1089"/>
  <c r="AA1089"/>
  <c r="Y1089"/>
  <c r="W1089"/>
  <c r="U1089"/>
  <c r="P1089"/>
  <c r="B1089"/>
  <c r="Q1089" s="1"/>
  <c r="AD1088"/>
  <c r="AC1088"/>
  <c r="AB1088"/>
  <c r="AA1088"/>
  <c r="Y1088"/>
  <c r="W1088"/>
  <c r="V1088"/>
  <c r="U1088"/>
  <c r="T1088"/>
  <c r="P1088"/>
  <c r="B1088"/>
  <c r="Q1088" s="1"/>
  <c r="AD1087"/>
  <c r="AC1087"/>
  <c r="AB1087"/>
  <c r="AA1087"/>
  <c r="Y1087"/>
  <c r="W1087"/>
  <c r="V1087"/>
  <c r="U1087"/>
  <c r="T1087"/>
  <c r="P1087"/>
  <c r="B1087"/>
  <c r="Q1087" s="1"/>
  <c r="AD1086"/>
  <c r="AC1086"/>
  <c r="AB1086"/>
  <c r="AA1086"/>
  <c r="Y1086"/>
  <c r="W1086"/>
  <c r="V1086"/>
  <c r="U1086"/>
  <c r="T1086"/>
  <c r="P1086"/>
  <c r="B1086"/>
  <c r="Q1086" s="1"/>
  <c r="AD1085"/>
  <c r="AC1085"/>
  <c r="AB1085"/>
  <c r="AA1085"/>
  <c r="Y1085"/>
  <c r="W1085"/>
  <c r="V1085"/>
  <c r="U1085"/>
  <c r="T1085"/>
  <c r="P1085"/>
  <c r="B1085"/>
  <c r="Q1085" s="1"/>
  <c r="AD1084"/>
  <c r="AC1084"/>
  <c r="AB1084"/>
  <c r="AA1084"/>
  <c r="Y1084"/>
  <c r="W1084"/>
  <c r="V1084"/>
  <c r="U1084"/>
  <c r="T1084"/>
  <c r="P1084"/>
  <c r="B1084"/>
  <c r="Q1084" s="1"/>
  <c r="AD1083"/>
  <c r="AC1083"/>
  <c r="AB1083"/>
  <c r="AA1083"/>
  <c r="Y1083"/>
  <c r="W1083"/>
  <c r="V1083"/>
  <c r="U1083"/>
  <c r="T1083"/>
  <c r="P1083"/>
  <c r="B1083"/>
  <c r="Q1083" s="1"/>
  <c r="AD1081"/>
  <c r="AC1081"/>
  <c r="AB1081"/>
  <c r="AA1081"/>
  <c r="Y1081"/>
  <c r="W1081"/>
  <c r="V1081"/>
  <c r="U1081"/>
  <c r="T1081"/>
  <c r="P1081"/>
  <c r="B1081"/>
  <c r="Q1081" s="1"/>
  <c r="AD1080"/>
  <c r="AC1080"/>
  <c r="AB1080"/>
  <c r="AA1080"/>
  <c r="Y1080"/>
  <c r="W1080"/>
  <c r="V1080"/>
  <c r="U1080"/>
  <c r="T1080"/>
  <c r="P1080"/>
  <c r="B1080"/>
  <c r="Q1080" s="1"/>
  <c r="AD1110"/>
  <c r="AC1110"/>
  <c r="AB1110"/>
  <c r="AA1110"/>
  <c r="Y1110"/>
  <c r="W1110"/>
  <c r="V1110"/>
  <c r="U1110"/>
  <c r="T1110"/>
  <c r="P1110"/>
  <c r="B1110"/>
  <c r="Q1110" s="1"/>
  <c r="AD1108"/>
  <c r="AC1108"/>
  <c r="AB1108"/>
  <c r="AA1108"/>
  <c r="Y1108"/>
  <c r="W1108"/>
  <c r="V1108"/>
  <c r="U1108"/>
  <c r="T1108"/>
  <c r="P1108"/>
  <c r="B1108"/>
  <c r="Q1108" s="1"/>
  <c r="AD1106"/>
  <c r="AC1106"/>
  <c r="AB1106"/>
  <c r="AA1106"/>
  <c r="Y1106"/>
  <c r="W1106"/>
  <c r="V1106"/>
  <c r="U1106"/>
  <c r="T1106"/>
  <c r="P1106"/>
  <c r="B1106"/>
  <c r="Q1106" s="1"/>
  <c r="AD1105"/>
  <c r="AC1105"/>
  <c r="AB1105"/>
  <c r="AA1105"/>
  <c r="Y1105"/>
  <c r="W1105"/>
  <c r="V1105"/>
  <c r="U1105"/>
  <c r="T1105"/>
  <c r="P1105"/>
  <c r="B1105"/>
  <c r="Q1105" s="1"/>
  <c r="AD1103"/>
  <c r="AC1103"/>
  <c r="AB1103"/>
  <c r="AA1103"/>
  <c r="Y1103"/>
  <c r="W1103"/>
  <c r="V1103"/>
  <c r="U1103"/>
  <c r="T1103"/>
  <c r="P1103"/>
  <c r="B1103"/>
  <c r="Q1103" s="1"/>
  <c r="AD1102"/>
  <c r="AC1102"/>
  <c r="AB1102"/>
  <c r="AA1102"/>
  <c r="Y1102"/>
  <c r="W1102"/>
  <c r="V1102"/>
  <c r="U1102"/>
  <c r="T1102"/>
  <c r="P1102"/>
  <c r="B1102"/>
  <c r="Q1102" s="1"/>
  <c r="AD1101"/>
  <c r="AC1101"/>
  <c r="AB1101"/>
  <c r="AA1101"/>
  <c r="Y1101"/>
  <c r="W1101"/>
  <c r="V1101"/>
  <c r="U1101"/>
  <c r="T1101"/>
  <c r="P1101"/>
  <c r="B1101"/>
  <c r="Q1101" s="1"/>
  <c r="AD1100"/>
  <c r="AC1100"/>
  <c r="AB1100"/>
  <c r="AA1100"/>
  <c r="Y1100"/>
  <c r="W1100"/>
  <c r="V1100"/>
  <c r="U1100"/>
  <c r="T1100"/>
  <c r="P1100"/>
  <c r="B1100"/>
  <c r="Q1100" s="1"/>
  <c r="AD1098"/>
  <c r="AC1098"/>
  <c r="AB1098"/>
  <c r="AA1098"/>
  <c r="Y1098"/>
  <c r="W1098"/>
  <c r="V1098"/>
  <c r="U1098"/>
  <c r="T1098"/>
  <c r="P1098"/>
  <c r="B1098"/>
  <c r="Q1098" s="1"/>
  <c r="AD1129"/>
  <c r="AC1129"/>
  <c r="AB1129"/>
  <c r="AA1129"/>
  <c r="Y1129"/>
  <c r="W1129"/>
  <c r="V1129"/>
  <c r="U1129"/>
  <c r="T1129"/>
  <c r="P1129"/>
  <c r="B1129"/>
  <c r="Q1129" s="1"/>
  <c r="AD1128"/>
  <c r="AC1128"/>
  <c r="AB1128"/>
  <c r="AA1128"/>
  <c r="Y1128"/>
  <c r="W1128"/>
  <c r="V1128"/>
  <c r="U1128"/>
  <c r="T1128"/>
  <c r="P1128"/>
  <c r="B1128"/>
  <c r="Q1128" s="1"/>
  <c r="AD1127"/>
  <c r="AC1127"/>
  <c r="AB1127"/>
  <c r="AA1127"/>
  <c r="Y1127"/>
  <c r="W1127"/>
  <c r="V1127"/>
  <c r="U1127"/>
  <c r="T1127"/>
  <c r="P1127"/>
  <c r="B1127"/>
  <c r="Q1127" s="1"/>
  <c r="AD1126"/>
  <c r="AC1126"/>
  <c r="AB1126"/>
  <c r="AA1126"/>
  <c r="Y1126"/>
  <c r="W1126"/>
  <c r="V1126"/>
  <c r="U1126"/>
  <c r="T1126"/>
  <c r="P1126"/>
  <c r="B1126"/>
  <c r="Q1126" s="1"/>
  <c r="AD1125"/>
  <c r="AC1125"/>
  <c r="AB1125"/>
  <c r="AA1125"/>
  <c r="Y1125"/>
  <c r="W1125"/>
  <c r="V1125"/>
  <c r="U1125"/>
  <c r="T1125"/>
  <c r="P1125"/>
  <c r="B1125"/>
  <c r="Q1125" s="1"/>
  <c r="AD1124"/>
  <c r="AC1124"/>
  <c r="AB1124"/>
  <c r="AA1124"/>
  <c r="Y1124"/>
  <c r="W1124"/>
  <c r="V1124"/>
  <c r="U1124"/>
  <c r="T1124"/>
  <c r="P1124"/>
  <c r="B1124"/>
  <c r="Q1124" s="1"/>
  <c r="AD1123"/>
  <c r="AC1123"/>
  <c r="AB1123"/>
  <c r="AA1123"/>
  <c r="Y1123"/>
  <c r="W1123"/>
  <c r="V1123"/>
  <c r="U1123"/>
  <c r="T1123"/>
  <c r="P1123"/>
  <c r="B1123"/>
  <c r="Q1123" s="1"/>
  <c r="AD1122"/>
  <c r="AC1122"/>
  <c r="AB1122"/>
  <c r="AA1122"/>
  <c r="Y1122"/>
  <c r="W1122"/>
  <c r="V1122"/>
  <c r="U1122"/>
  <c r="T1122"/>
  <c r="P1122"/>
  <c r="B1122"/>
  <c r="Q1122" s="1"/>
  <c r="AD1121"/>
  <c r="AC1121"/>
  <c r="AB1121"/>
  <c r="AA1121"/>
  <c r="Y1121"/>
  <c r="W1121"/>
  <c r="V1121"/>
  <c r="U1121"/>
  <c r="T1121"/>
  <c r="P1121"/>
  <c r="B1121"/>
  <c r="Q1121" s="1"/>
  <c r="AD1120"/>
  <c r="AC1120"/>
  <c r="AB1120"/>
  <c r="AA1120"/>
  <c r="Y1120"/>
  <c r="W1120"/>
  <c r="V1120"/>
  <c r="U1120"/>
  <c r="T1120"/>
  <c r="P1120"/>
  <c r="B1120"/>
  <c r="Q1120" s="1"/>
  <c r="AD1119"/>
  <c r="AC1119"/>
  <c r="AB1119"/>
  <c r="AA1119"/>
  <c r="Y1119"/>
  <c r="W1119"/>
  <c r="V1119"/>
  <c r="U1119"/>
  <c r="T1119"/>
  <c r="P1119"/>
  <c r="B1119"/>
  <c r="Q1119" s="1"/>
  <c r="AD1117"/>
  <c r="AC1117"/>
  <c r="AB1117"/>
  <c r="AA1117"/>
  <c r="Y1117"/>
  <c r="W1117"/>
  <c r="V1117"/>
  <c r="U1117"/>
  <c r="T1117"/>
  <c r="P1117"/>
  <c r="B1117"/>
  <c r="Q1117" s="1"/>
  <c r="AD1116"/>
  <c r="AC1116"/>
  <c r="AB1116"/>
  <c r="AA1116"/>
  <c r="Y1116"/>
  <c r="W1116"/>
  <c r="V1116"/>
  <c r="U1116"/>
  <c r="T1116"/>
  <c r="P1116"/>
  <c r="B1116"/>
  <c r="Q1116" s="1"/>
  <c r="AD1114"/>
  <c r="AC1114"/>
  <c r="AB1114"/>
  <c r="AA1114"/>
  <c r="Y1114"/>
  <c r="W1114"/>
  <c r="V1114"/>
  <c r="U1114"/>
  <c r="T1114"/>
  <c r="P1114"/>
  <c r="B1114"/>
  <c r="Q1114" s="1"/>
  <c r="AD1113"/>
  <c r="AC1113"/>
  <c r="AB1113"/>
  <c r="AA1113"/>
  <c r="Y1113"/>
  <c r="W1113"/>
  <c r="V1113"/>
  <c r="U1113"/>
  <c r="T1113"/>
  <c r="P1113"/>
  <c r="B1113"/>
  <c r="Q1113" s="1"/>
  <c r="AD1112"/>
  <c r="AC1112"/>
  <c r="AB1112"/>
  <c r="AA1112"/>
  <c r="Y1112"/>
  <c r="W1112"/>
  <c r="V1112"/>
  <c r="U1112"/>
  <c r="T1112"/>
  <c r="P1112"/>
  <c r="B1112"/>
  <c r="Q1112" s="1"/>
  <c r="AD1147"/>
  <c r="AC1147"/>
  <c r="AB1147"/>
  <c r="AA1147"/>
  <c r="Y1147"/>
  <c r="W1147"/>
  <c r="V1147"/>
  <c r="U1147"/>
  <c r="T1147"/>
  <c r="P1147"/>
  <c r="B1147"/>
  <c r="Q1147" s="1"/>
  <c r="AD1146"/>
  <c r="AC1146"/>
  <c r="AB1146"/>
  <c r="AA1146"/>
  <c r="Y1146"/>
  <c r="W1146"/>
  <c r="V1146"/>
  <c r="U1146"/>
  <c r="T1146"/>
  <c r="P1146"/>
  <c r="B1146"/>
  <c r="Q1146" s="1"/>
  <c r="AD1145"/>
  <c r="AC1145"/>
  <c r="AB1145"/>
  <c r="AA1145"/>
  <c r="Y1145"/>
  <c r="W1145"/>
  <c r="V1145"/>
  <c r="U1145"/>
  <c r="T1145"/>
  <c r="P1145"/>
  <c r="B1145"/>
  <c r="Q1145" s="1"/>
  <c r="AD1144"/>
  <c r="AC1144"/>
  <c r="AB1144"/>
  <c r="AA1144"/>
  <c r="Y1144"/>
  <c r="W1144"/>
  <c r="V1144"/>
  <c r="U1144"/>
  <c r="T1144"/>
  <c r="P1144"/>
  <c r="B1144"/>
  <c r="Q1144" s="1"/>
  <c r="AD1143"/>
  <c r="AC1143"/>
  <c r="AB1143"/>
  <c r="AA1143"/>
  <c r="Y1143"/>
  <c r="W1143"/>
  <c r="V1143"/>
  <c r="U1143"/>
  <c r="T1143"/>
  <c r="P1143"/>
  <c r="B1143"/>
  <c r="Q1143" s="1"/>
  <c r="AD1142"/>
  <c r="AC1142"/>
  <c r="AB1142"/>
  <c r="AA1142"/>
  <c r="Y1142"/>
  <c r="W1142"/>
  <c r="V1142"/>
  <c r="U1142"/>
  <c r="T1142"/>
  <c r="P1142"/>
  <c r="B1142"/>
  <c r="Q1142" s="1"/>
  <c r="AD1141"/>
  <c r="AC1141"/>
  <c r="AB1141"/>
  <c r="AA1141"/>
  <c r="Y1141"/>
  <c r="W1141"/>
  <c r="V1141"/>
  <c r="U1141"/>
  <c r="T1141"/>
  <c r="P1141"/>
  <c r="B1141"/>
  <c r="Q1141" s="1"/>
  <c r="AD1140"/>
  <c r="AC1140"/>
  <c r="AB1140"/>
  <c r="AA1140"/>
  <c r="Y1140"/>
  <c r="W1140"/>
  <c r="V1140"/>
  <c r="U1140"/>
  <c r="T1140"/>
  <c r="P1140"/>
  <c r="B1140"/>
  <c r="Q1140" s="1"/>
  <c r="AD1139"/>
  <c r="AC1139"/>
  <c r="AB1139"/>
  <c r="AA1139"/>
  <c r="Y1139"/>
  <c r="W1139"/>
  <c r="V1139"/>
  <c r="U1139"/>
  <c r="T1139"/>
  <c r="P1139"/>
  <c r="B1139"/>
  <c r="Q1139" s="1"/>
  <c r="AD1138"/>
  <c r="AC1138"/>
  <c r="AB1138"/>
  <c r="AA1138"/>
  <c r="Y1138"/>
  <c r="W1138"/>
  <c r="V1138"/>
  <c r="U1138"/>
  <c r="T1138"/>
  <c r="P1138"/>
  <c r="B1138"/>
  <c r="Q1138" s="1"/>
  <c r="AD1137"/>
  <c r="AC1137"/>
  <c r="AB1137"/>
  <c r="AA1137"/>
  <c r="Y1137"/>
  <c r="W1137"/>
  <c r="V1137"/>
  <c r="U1137"/>
  <c r="T1137"/>
  <c r="P1137"/>
  <c r="B1137"/>
  <c r="Q1137" s="1"/>
  <c r="AD1136"/>
  <c r="AC1136"/>
  <c r="AB1136"/>
  <c r="AA1136"/>
  <c r="Y1136"/>
  <c r="W1136"/>
  <c r="V1136"/>
  <c r="U1136"/>
  <c r="T1136"/>
  <c r="P1136"/>
  <c r="B1136"/>
  <c r="Q1136" s="1"/>
  <c r="AD1135"/>
  <c r="AC1135"/>
  <c r="AB1135"/>
  <c r="AA1135"/>
  <c r="Y1135"/>
  <c r="W1135"/>
  <c r="V1135"/>
  <c r="U1135"/>
  <c r="T1135"/>
  <c r="P1135"/>
  <c r="B1135"/>
  <c r="Q1135" s="1"/>
  <c r="AD1134"/>
  <c r="AC1134"/>
  <c r="AB1134"/>
  <c r="AA1134"/>
  <c r="Y1134"/>
  <c r="W1134"/>
  <c r="V1134"/>
  <c r="U1134"/>
  <c r="T1134"/>
  <c r="P1134"/>
  <c r="B1134"/>
  <c r="Q1134" s="1"/>
  <c r="AD1132"/>
  <c r="AC1132"/>
  <c r="AB1132"/>
  <c r="AA1132"/>
  <c r="Y1132"/>
  <c r="W1132"/>
  <c r="V1132"/>
  <c r="U1132"/>
  <c r="T1132"/>
  <c r="P1132"/>
  <c r="B1132"/>
  <c r="Q1132" s="1"/>
  <c r="AD1131"/>
  <c r="AC1131"/>
  <c r="AB1131"/>
  <c r="AA1131"/>
  <c r="Y1131"/>
  <c r="W1131"/>
  <c r="V1131"/>
  <c r="U1131"/>
  <c r="T1131"/>
  <c r="P1131"/>
  <c r="B1131"/>
  <c r="Q1131" s="1"/>
  <c r="AD809"/>
  <c r="AC809"/>
  <c r="AB809"/>
  <c r="Y809"/>
  <c r="W809"/>
  <c r="V809"/>
  <c r="U809"/>
  <c r="T809"/>
  <c r="P809"/>
  <c r="K809"/>
  <c r="M809" s="1"/>
  <c r="AA809"/>
  <c r="B809"/>
  <c r="Q809" s="1"/>
  <c r="B55" i="55"/>
  <c r="A55" s="1"/>
  <c r="B58"/>
  <c r="A58" s="1"/>
  <c r="AC810" i="34"/>
  <c r="AB810"/>
  <c r="Y810"/>
  <c r="W810"/>
  <c r="V810"/>
  <c r="U810"/>
  <c r="T810"/>
  <c r="P810"/>
  <c r="K810"/>
  <c r="M810" s="1"/>
  <c r="AA810"/>
  <c r="B810"/>
  <c r="Q810" s="1"/>
  <c r="AC808"/>
  <c r="AB808"/>
  <c r="AA808"/>
  <c r="Y808"/>
  <c r="W808"/>
  <c r="V808"/>
  <c r="U808"/>
  <c r="T808"/>
  <c r="P808"/>
  <c r="K808"/>
  <c r="M808" s="1"/>
  <c r="B808"/>
  <c r="S808" s="1"/>
  <c r="AD807"/>
  <c r="AC807"/>
  <c r="AB807"/>
  <c r="Y807"/>
  <c r="W807"/>
  <c r="V807"/>
  <c r="U807"/>
  <c r="T807"/>
  <c r="P807"/>
  <c r="K807"/>
  <c r="M807" s="1"/>
  <c r="AA807"/>
  <c r="B807"/>
  <c r="Q807" s="1"/>
  <c r="AD806"/>
  <c r="AC806"/>
  <c r="AB806"/>
  <c r="Y806"/>
  <c r="W806"/>
  <c r="V806"/>
  <c r="U806"/>
  <c r="T806"/>
  <c r="P806"/>
  <c r="K806"/>
  <c r="M806" s="1"/>
  <c r="AA806"/>
  <c r="B806"/>
  <c r="Q806" s="1"/>
  <c r="M1005"/>
  <c r="M1006"/>
  <c r="M1008"/>
  <c r="M1009"/>
  <c r="M1003"/>
  <c r="M1004"/>
  <c r="M996"/>
  <c r="T1089" l="1"/>
  <c r="V1089"/>
  <c r="B1076"/>
  <c r="Q1076" s="1"/>
  <c r="B1053"/>
  <c r="Q1053" s="1"/>
  <c r="B1025"/>
  <c r="Q1025" s="1"/>
  <c r="B1031"/>
  <c r="Q1031" s="1"/>
  <c r="AD1038"/>
  <c r="AD1040"/>
  <c r="U1070"/>
  <c r="U1069"/>
  <c r="B954"/>
  <c r="S954" s="1"/>
  <c r="B959"/>
  <c r="Q959" s="1"/>
  <c r="U1068"/>
  <c r="U1074"/>
  <c r="AD943"/>
  <c r="T1068"/>
  <c r="T1072"/>
  <c r="B1013"/>
  <c r="Q1013" s="1"/>
  <c r="B1034"/>
  <c r="Q1034" s="1"/>
  <c r="U1073"/>
  <c r="AD953"/>
  <c r="B960"/>
  <c r="Q960" s="1"/>
  <c r="T1069"/>
  <c r="U1072"/>
  <c r="T1073"/>
  <c r="V1070"/>
  <c r="V1074"/>
  <c r="B1029"/>
  <c r="Q1029" s="1"/>
  <c r="T1067"/>
  <c r="V1069"/>
  <c r="T1071"/>
  <c r="V1073"/>
  <c r="AD1018"/>
  <c r="AD1036"/>
  <c r="U1067"/>
  <c r="V1068"/>
  <c r="T1070"/>
  <c r="U1071"/>
  <c r="V1072"/>
  <c r="T1074"/>
  <c r="V1067"/>
  <c r="V1071"/>
  <c r="B1075"/>
  <c r="U1066"/>
  <c r="AD1021"/>
  <c r="V1066"/>
  <c r="AD1023"/>
  <c r="A967"/>
  <c r="R967"/>
  <c r="S967"/>
  <c r="Q1037"/>
  <c r="R1021"/>
  <c r="Q1021"/>
  <c r="A1021"/>
  <c r="S1021"/>
  <c r="B1022"/>
  <c r="R1023"/>
  <c r="Q1023"/>
  <c r="A1023"/>
  <c r="S1023"/>
  <c r="B1024"/>
  <c r="R1016"/>
  <c r="Q1016"/>
  <c r="A1016"/>
  <c r="S1016"/>
  <c r="B1017"/>
  <c r="AD1016"/>
  <c r="Q1028"/>
  <c r="AD1028"/>
  <c r="R1019"/>
  <c r="Q1019"/>
  <c r="A1019"/>
  <c r="S1019"/>
  <c r="B1020"/>
  <c r="AD1019"/>
  <c r="B1014"/>
  <c r="B1015"/>
  <c r="B1011"/>
  <c r="B1012"/>
  <c r="R1012" s="1"/>
  <c r="B1010"/>
  <c r="B1000"/>
  <c r="B944"/>
  <c r="Q944" s="1"/>
  <c r="B994"/>
  <c r="Q994" s="1"/>
  <c r="AD962"/>
  <c r="B995"/>
  <c r="Q995" s="1"/>
  <c r="B1007"/>
  <c r="B1002"/>
  <c r="B1001"/>
  <c r="B997"/>
  <c r="B998"/>
  <c r="B999"/>
  <c r="R962"/>
  <c r="Q962"/>
  <c r="A962"/>
  <c r="S962"/>
  <c r="B963"/>
  <c r="AD957"/>
  <c r="R957"/>
  <c r="Q957"/>
  <c r="A957"/>
  <c r="S957"/>
  <c r="B958"/>
  <c r="R949"/>
  <c r="Q949"/>
  <c r="A949"/>
  <c r="S949"/>
  <c r="B950"/>
  <c r="AD949"/>
  <c r="A943"/>
  <c r="R943"/>
  <c r="S943"/>
  <c r="A964"/>
  <c r="R964"/>
  <c r="S964"/>
  <c r="R947"/>
  <c r="Q947"/>
  <c r="A947"/>
  <c r="S947"/>
  <c r="B948"/>
  <c r="AD947"/>
  <c r="AD945"/>
  <c r="R945"/>
  <c r="Q945"/>
  <c r="A945"/>
  <c r="S945"/>
  <c r="B946"/>
  <c r="A959"/>
  <c r="R959"/>
  <c r="A960"/>
  <c r="R960"/>
  <c r="S959"/>
  <c r="Q954"/>
  <c r="Q953"/>
  <c r="A953"/>
  <c r="R953"/>
  <c r="A954"/>
  <c r="R954"/>
  <c r="A965"/>
  <c r="R965"/>
  <c r="A966"/>
  <c r="R966"/>
  <c r="S965"/>
  <c r="S966"/>
  <c r="A1013"/>
  <c r="R1013"/>
  <c r="A1018"/>
  <c r="R1018"/>
  <c r="A1025"/>
  <c r="R1025"/>
  <c r="A1026"/>
  <c r="R1026"/>
  <c r="A1027"/>
  <c r="R1027"/>
  <c r="A1028"/>
  <c r="R1028"/>
  <c r="A1029"/>
  <c r="R1029"/>
  <c r="A1030"/>
  <c r="R1030"/>
  <c r="A1031"/>
  <c r="R1031"/>
  <c r="A1032"/>
  <c r="R1032"/>
  <c r="A1033"/>
  <c r="R1033"/>
  <c r="A1034"/>
  <c r="R1034"/>
  <c r="A1035"/>
  <c r="R1035"/>
  <c r="A1036"/>
  <c r="R1036"/>
  <c r="A1037"/>
  <c r="R1037"/>
  <c r="A1038"/>
  <c r="R1038"/>
  <c r="A1039"/>
  <c r="R1039"/>
  <c r="A1040"/>
  <c r="R1040"/>
  <c r="S1013"/>
  <c r="S1018"/>
  <c r="S1025"/>
  <c r="S1026"/>
  <c r="S1027"/>
  <c r="S1028"/>
  <c r="S1029"/>
  <c r="S1030"/>
  <c r="S1031"/>
  <c r="S1032"/>
  <c r="S1033"/>
  <c r="S1034"/>
  <c r="S1035"/>
  <c r="S1036"/>
  <c r="S1037"/>
  <c r="S1038"/>
  <c r="S1039"/>
  <c r="S1040"/>
  <c r="A1041"/>
  <c r="R1041"/>
  <c r="A1042"/>
  <c r="R1042"/>
  <c r="A1043"/>
  <c r="R1043"/>
  <c r="A1044"/>
  <c r="R1044"/>
  <c r="A1045"/>
  <c r="R1045"/>
  <c r="A1046"/>
  <c r="R1046"/>
  <c r="A1047"/>
  <c r="R1047"/>
  <c r="A1048"/>
  <c r="R1048"/>
  <c r="A1049"/>
  <c r="R1049"/>
  <c r="A1050"/>
  <c r="R1050"/>
  <c r="A1051"/>
  <c r="R1051"/>
  <c r="A1052"/>
  <c r="R1052"/>
  <c r="A1053"/>
  <c r="A1054"/>
  <c r="R1054"/>
  <c r="A1055"/>
  <c r="R1055"/>
  <c r="A1056"/>
  <c r="R1056"/>
  <c r="A1057"/>
  <c r="R1057"/>
  <c r="A1058"/>
  <c r="R1058"/>
  <c r="S1041"/>
  <c r="S1042"/>
  <c r="S1043"/>
  <c r="S1044"/>
  <c r="S1045"/>
  <c r="S1046"/>
  <c r="S1047"/>
  <c r="S1048"/>
  <c r="S1049"/>
  <c r="S1050"/>
  <c r="S1051"/>
  <c r="S1052"/>
  <c r="S1053"/>
  <c r="S1054"/>
  <c r="S1055"/>
  <c r="S1056"/>
  <c r="S1057"/>
  <c r="S1058"/>
  <c r="A1059"/>
  <c r="R1059"/>
  <c r="A1060"/>
  <c r="R1060"/>
  <c r="A1061"/>
  <c r="R1061"/>
  <c r="A1062"/>
  <c r="R1062"/>
  <c r="A1063"/>
  <c r="R1063"/>
  <c r="A1064"/>
  <c r="R1064"/>
  <c r="A1065"/>
  <c r="R1065"/>
  <c r="A1066"/>
  <c r="R1066"/>
  <c r="A1067"/>
  <c r="R1067"/>
  <c r="A1068"/>
  <c r="R1068"/>
  <c r="A1069"/>
  <c r="R1069"/>
  <c r="A1070"/>
  <c r="R1070"/>
  <c r="A1071"/>
  <c r="R1071"/>
  <c r="A1072"/>
  <c r="R1072"/>
  <c r="A1073"/>
  <c r="R1073"/>
  <c r="A1074"/>
  <c r="R1074"/>
  <c r="A1075"/>
  <c r="R1075"/>
  <c r="A1076"/>
  <c r="R1076"/>
  <c r="S1059"/>
  <c r="S1060"/>
  <c r="S1061"/>
  <c r="S1062"/>
  <c r="S1063"/>
  <c r="S1064"/>
  <c r="S1065"/>
  <c r="S1066"/>
  <c r="S1067"/>
  <c r="S1068"/>
  <c r="S1069"/>
  <c r="S1070"/>
  <c r="S1071"/>
  <c r="S1072"/>
  <c r="S1073"/>
  <c r="S1074"/>
  <c r="S1075"/>
  <c r="S1076"/>
  <c r="A1080"/>
  <c r="R1080"/>
  <c r="A1081"/>
  <c r="R1081"/>
  <c r="A1083"/>
  <c r="R1083"/>
  <c r="A1084"/>
  <c r="R1084"/>
  <c r="A1085"/>
  <c r="R1085"/>
  <c r="A1086"/>
  <c r="R1086"/>
  <c r="A1087"/>
  <c r="R1087"/>
  <c r="A1088"/>
  <c r="R1088"/>
  <c r="A1089"/>
  <c r="R1089"/>
  <c r="S1080"/>
  <c r="S1081"/>
  <c r="S1083"/>
  <c r="S1084"/>
  <c r="S1085"/>
  <c r="S1086"/>
  <c r="S1087"/>
  <c r="S1088"/>
  <c r="S1089"/>
  <c r="A1098"/>
  <c r="R1098"/>
  <c r="A1100"/>
  <c r="R1100"/>
  <c r="A1101"/>
  <c r="R1101"/>
  <c r="A1102"/>
  <c r="R1102"/>
  <c r="A1103"/>
  <c r="R1103"/>
  <c r="A1105"/>
  <c r="R1105"/>
  <c r="A1106"/>
  <c r="R1106"/>
  <c r="A1108"/>
  <c r="R1108"/>
  <c r="A1110"/>
  <c r="R1110"/>
  <c r="S1098"/>
  <c r="S1100"/>
  <c r="S1101"/>
  <c r="S1102"/>
  <c r="S1103"/>
  <c r="S1105"/>
  <c r="S1106"/>
  <c r="S1108"/>
  <c r="S1110"/>
  <c r="A1112"/>
  <c r="R1112"/>
  <c r="A1113"/>
  <c r="R1113"/>
  <c r="A1114"/>
  <c r="R1114"/>
  <c r="A1116"/>
  <c r="R1116"/>
  <c r="A1117"/>
  <c r="R1117"/>
  <c r="A1119"/>
  <c r="R1119"/>
  <c r="A1120"/>
  <c r="R1120"/>
  <c r="A1121"/>
  <c r="R1121"/>
  <c r="A1122"/>
  <c r="R1122"/>
  <c r="A1123"/>
  <c r="R1123"/>
  <c r="A1124"/>
  <c r="R1124"/>
  <c r="A1125"/>
  <c r="R1125"/>
  <c r="A1126"/>
  <c r="R1126"/>
  <c r="A1127"/>
  <c r="R1127"/>
  <c r="A1128"/>
  <c r="R1128"/>
  <c r="A1129"/>
  <c r="R1129"/>
  <c r="S1112"/>
  <c r="S1113"/>
  <c r="S1114"/>
  <c r="S1116"/>
  <c r="S1117"/>
  <c r="S1119"/>
  <c r="S1120"/>
  <c r="S1121"/>
  <c r="S1122"/>
  <c r="S1123"/>
  <c r="S1124"/>
  <c r="S1125"/>
  <c r="S1126"/>
  <c r="S1127"/>
  <c r="S1128"/>
  <c r="S1129"/>
  <c r="A1131"/>
  <c r="R1131"/>
  <c r="A1132"/>
  <c r="R1132"/>
  <c r="A1134"/>
  <c r="R1134"/>
  <c r="A1135"/>
  <c r="R1135"/>
  <c r="A1136"/>
  <c r="R1136"/>
  <c r="A1137"/>
  <c r="R1137"/>
  <c r="A1138"/>
  <c r="R1138"/>
  <c r="A1139"/>
  <c r="R1139"/>
  <c r="A1140"/>
  <c r="R1140"/>
  <c r="A1141"/>
  <c r="R1141"/>
  <c r="A1142"/>
  <c r="R1142"/>
  <c r="A1143"/>
  <c r="R1143"/>
  <c r="A1144"/>
  <c r="R1144"/>
  <c r="A1145"/>
  <c r="R1145"/>
  <c r="A1146"/>
  <c r="R1146"/>
  <c r="A1147"/>
  <c r="R1147"/>
  <c r="S1131"/>
  <c r="S1132"/>
  <c r="S1134"/>
  <c r="S1135"/>
  <c r="S1136"/>
  <c r="S1137"/>
  <c r="S1138"/>
  <c r="S1139"/>
  <c r="S1140"/>
  <c r="S1141"/>
  <c r="S1142"/>
  <c r="S1143"/>
  <c r="S1144"/>
  <c r="S1145"/>
  <c r="S1146"/>
  <c r="S1147"/>
  <c r="A807"/>
  <c r="R808"/>
  <c r="S806"/>
  <c r="S810"/>
  <c r="A806"/>
  <c r="A810"/>
  <c r="B56" i="55"/>
  <c r="R809" i="34"/>
  <c r="A809"/>
  <c r="S809"/>
  <c r="Q808"/>
  <c r="R810"/>
  <c r="A808"/>
  <c r="R807"/>
  <c r="S807"/>
  <c r="R806"/>
  <c r="O16" i="63"/>
  <c r="N16"/>
  <c r="M16"/>
  <c r="L16"/>
  <c r="C1005" i="34"/>
  <c r="C1006"/>
  <c r="C1008"/>
  <c r="C1003"/>
  <c r="C1004"/>
  <c r="C996"/>
  <c r="B986"/>
  <c r="A986" s="1"/>
  <c r="P986"/>
  <c r="T986"/>
  <c r="U986"/>
  <c r="V986"/>
  <c r="W986"/>
  <c r="Y986"/>
  <c r="AB986"/>
  <c r="AC986"/>
  <c r="AD986"/>
  <c r="B987"/>
  <c r="A987" s="1"/>
  <c r="P987"/>
  <c r="T987"/>
  <c r="U987"/>
  <c r="V987"/>
  <c r="W987"/>
  <c r="Y987"/>
  <c r="AB987"/>
  <c r="AC987"/>
  <c r="AD987"/>
  <c r="B988"/>
  <c r="A988" s="1"/>
  <c r="P988"/>
  <c r="T988"/>
  <c r="U988"/>
  <c r="V988"/>
  <c r="W988"/>
  <c r="Y988"/>
  <c r="AB988"/>
  <c r="AC988"/>
  <c r="AD988"/>
  <c r="B989"/>
  <c r="A989" s="1"/>
  <c r="P989"/>
  <c r="T989"/>
  <c r="U989"/>
  <c r="V989"/>
  <c r="W989"/>
  <c r="Y989"/>
  <c r="AB989"/>
  <c r="AC989"/>
  <c r="AD989"/>
  <c r="B990"/>
  <c r="A990" s="1"/>
  <c r="P990"/>
  <c r="T990"/>
  <c r="U990"/>
  <c r="V990"/>
  <c r="W990"/>
  <c r="Y990"/>
  <c r="AB990"/>
  <c r="AC990"/>
  <c r="AD990"/>
  <c r="B991"/>
  <c r="A991" s="1"/>
  <c r="P991"/>
  <c r="T991"/>
  <c r="U991"/>
  <c r="V991"/>
  <c r="W991"/>
  <c r="Y991"/>
  <c r="AB991"/>
  <c r="AC991"/>
  <c r="AD991"/>
  <c r="B972"/>
  <c r="B971"/>
  <c r="AD978"/>
  <c r="AC978"/>
  <c r="AB978"/>
  <c r="Y978"/>
  <c r="W978"/>
  <c r="V978"/>
  <c r="U978"/>
  <c r="T978"/>
  <c r="P978"/>
  <c r="B978"/>
  <c r="S978" s="1"/>
  <c r="AD977"/>
  <c r="AC977"/>
  <c r="AB977"/>
  <c r="Y977"/>
  <c r="W977"/>
  <c r="V977"/>
  <c r="U977"/>
  <c r="T977"/>
  <c r="P977"/>
  <c r="B977"/>
  <c r="S977" s="1"/>
  <c r="AD976"/>
  <c r="AC976"/>
  <c r="AB976"/>
  <c r="Y976"/>
  <c r="W976"/>
  <c r="V976"/>
  <c r="U976"/>
  <c r="T976"/>
  <c r="P976"/>
  <c r="B976"/>
  <c r="S976" s="1"/>
  <c r="B973"/>
  <c r="A973" s="1"/>
  <c r="P973"/>
  <c r="T973"/>
  <c r="U973"/>
  <c r="V973"/>
  <c r="W973"/>
  <c r="Y973"/>
  <c r="AB973"/>
  <c r="AC973"/>
  <c r="AD973"/>
  <c r="A27" i="12"/>
  <c r="I27"/>
  <c r="B984" i="34"/>
  <c r="B983"/>
  <c r="B982"/>
  <c r="B981"/>
  <c r="AD980"/>
  <c r="AC980"/>
  <c r="AB980"/>
  <c r="Y980"/>
  <c r="W980"/>
  <c r="V980"/>
  <c r="U980"/>
  <c r="T980"/>
  <c r="P980"/>
  <c r="B980"/>
  <c r="S980" s="1"/>
  <c r="AD979"/>
  <c r="AC979"/>
  <c r="AB979"/>
  <c r="Y979"/>
  <c r="W979"/>
  <c r="V979"/>
  <c r="U979"/>
  <c r="T979"/>
  <c r="P979"/>
  <c r="B979"/>
  <c r="S979" s="1"/>
  <c r="B930"/>
  <c r="A930" s="1"/>
  <c r="P930"/>
  <c r="T930"/>
  <c r="U930"/>
  <c r="V930"/>
  <c r="W930"/>
  <c r="Y930"/>
  <c r="AB930"/>
  <c r="AC930"/>
  <c r="AD930"/>
  <c r="B938"/>
  <c r="A938" s="1"/>
  <c r="P938"/>
  <c r="T938"/>
  <c r="U938"/>
  <c r="V938"/>
  <c r="W938"/>
  <c r="Y938"/>
  <c r="AB938"/>
  <c r="AC938"/>
  <c r="AD938"/>
  <c r="B931"/>
  <c r="A931" s="1"/>
  <c r="P931"/>
  <c r="U931"/>
  <c r="W931"/>
  <c r="Y931"/>
  <c r="AB931"/>
  <c r="AC931"/>
  <c r="AD931"/>
  <c r="B932"/>
  <c r="A932" s="1"/>
  <c r="P932"/>
  <c r="W932"/>
  <c r="Y932"/>
  <c r="AB932"/>
  <c r="AC932"/>
  <c r="AD932"/>
  <c r="B934"/>
  <c r="A934" s="1"/>
  <c r="P934"/>
  <c r="T934"/>
  <c r="U934"/>
  <c r="V934"/>
  <c r="W934"/>
  <c r="Y934"/>
  <c r="AB934"/>
  <c r="AC934"/>
  <c r="AD934"/>
  <c r="B864"/>
  <c r="B865"/>
  <c r="B866"/>
  <c r="B867"/>
  <c r="AD863"/>
  <c r="AC863"/>
  <c r="AB863"/>
  <c r="Y863"/>
  <c r="W863"/>
  <c r="V863"/>
  <c r="U863"/>
  <c r="T863"/>
  <c r="P863"/>
  <c r="B863"/>
  <c r="R863" s="1"/>
  <c r="AD862"/>
  <c r="AC862"/>
  <c r="AB862"/>
  <c r="Y862"/>
  <c r="W862"/>
  <c r="V862"/>
  <c r="U862"/>
  <c r="T862"/>
  <c r="P862"/>
  <c r="B862"/>
  <c r="R862" s="1"/>
  <c r="E861"/>
  <c r="E860"/>
  <c r="E859"/>
  <c r="B859"/>
  <c r="B860"/>
  <c r="B861"/>
  <c r="AC928"/>
  <c r="AB928"/>
  <c r="Y928"/>
  <c r="W928"/>
  <c r="P928"/>
  <c r="C928"/>
  <c r="AD928" s="1"/>
  <c r="K927"/>
  <c r="K926"/>
  <c r="AC927"/>
  <c r="AB927"/>
  <c r="Y927"/>
  <c r="W927"/>
  <c r="P927"/>
  <c r="C927"/>
  <c r="AD927" s="1"/>
  <c r="K925"/>
  <c r="AC926"/>
  <c r="AB926"/>
  <c r="Y926"/>
  <c r="W926"/>
  <c r="P926"/>
  <c r="C926"/>
  <c r="AD926" s="1"/>
  <c r="AC925"/>
  <c r="AB925"/>
  <c r="Y925"/>
  <c r="W925"/>
  <c r="P925"/>
  <c r="C925"/>
  <c r="AD925" s="1"/>
  <c r="K923"/>
  <c r="AC924"/>
  <c r="AB924"/>
  <c r="Y924"/>
  <c r="W924"/>
  <c r="P924"/>
  <c r="M924"/>
  <c r="C924"/>
  <c r="AD924" s="1"/>
  <c r="AC893"/>
  <c r="AB893"/>
  <c r="Y893"/>
  <c r="W893"/>
  <c r="P893"/>
  <c r="C893"/>
  <c r="AD893" s="1"/>
  <c r="AC892"/>
  <c r="AB892"/>
  <c r="Y892"/>
  <c r="W892"/>
  <c r="P892"/>
  <c r="C892"/>
  <c r="B892" s="1"/>
  <c r="AC894"/>
  <c r="AB894"/>
  <c r="Y894"/>
  <c r="W894"/>
  <c r="P894"/>
  <c r="C894"/>
  <c r="AD894" s="1"/>
  <c r="AC895"/>
  <c r="AB895"/>
  <c r="Y895"/>
  <c r="W895"/>
  <c r="P895"/>
  <c r="C895"/>
  <c r="AD895" s="1"/>
  <c r="AC828"/>
  <c r="AB828"/>
  <c r="Y828"/>
  <c r="W828"/>
  <c r="P828"/>
  <c r="C828"/>
  <c r="AD828" s="1"/>
  <c r="C917"/>
  <c r="C918"/>
  <c r="C829"/>
  <c r="C919"/>
  <c r="C920"/>
  <c r="C921"/>
  <c r="C922"/>
  <c r="C923"/>
  <c r="C929"/>
  <c r="C907"/>
  <c r="C908"/>
  <c r="C909"/>
  <c r="C910"/>
  <c r="C911"/>
  <c r="C912"/>
  <c r="C913"/>
  <c r="C914"/>
  <c r="C915"/>
  <c r="C916"/>
  <c r="C900"/>
  <c r="C901"/>
  <c r="C902"/>
  <c r="C903"/>
  <c r="C904"/>
  <c r="C905"/>
  <c r="C906"/>
  <c r="R1053" l="1"/>
  <c r="S960"/>
  <c r="R994"/>
  <c r="S944"/>
  <c r="Q1075"/>
  <c r="V1075"/>
  <c r="U1075"/>
  <c r="T1075"/>
  <c r="A944"/>
  <c r="S995"/>
  <c r="Q1022"/>
  <c r="A1022"/>
  <c r="S1022"/>
  <c r="R1022"/>
  <c r="Q1024"/>
  <c r="A1024"/>
  <c r="S1024"/>
  <c r="R1024"/>
  <c r="Q1017"/>
  <c r="A1017"/>
  <c r="S1017"/>
  <c r="R1017"/>
  <c r="Q1020"/>
  <c r="A1020"/>
  <c r="S1020"/>
  <c r="R1020"/>
  <c r="Q1015"/>
  <c r="A1015"/>
  <c r="S1015"/>
  <c r="R1015"/>
  <c r="S1014"/>
  <c r="R1014"/>
  <c r="Q1014"/>
  <c r="A1014"/>
  <c r="Q1011"/>
  <c r="A1011"/>
  <c r="S1011"/>
  <c r="R1011"/>
  <c r="Q1012"/>
  <c r="A1012"/>
  <c r="S1012"/>
  <c r="Q1010"/>
  <c r="A1010"/>
  <c r="S1010"/>
  <c r="R1010"/>
  <c r="U1000"/>
  <c r="Q1000"/>
  <c r="T1000"/>
  <c r="A1000"/>
  <c r="S1000"/>
  <c r="V1000"/>
  <c r="R1000"/>
  <c r="S994"/>
  <c r="A994"/>
  <c r="R944"/>
  <c r="R995"/>
  <c r="A995"/>
  <c r="Q1007"/>
  <c r="A1007"/>
  <c r="S1007"/>
  <c r="R1007"/>
  <c r="Q1002"/>
  <c r="A1002"/>
  <c r="S1002"/>
  <c r="R1002"/>
  <c r="Q1001"/>
  <c r="A1001"/>
  <c r="S1001"/>
  <c r="R1001"/>
  <c r="Q997"/>
  <c r="A997"/>
  <c r="S997"/>
  <c r="R997"/>
  <c r="Q999"/>
  <c r="A999"/>
  <c r="S999"/>
  <c r="R999"/>
  <c r="S998"/>
  <c r="R998"/>
  <c r="Q998"/>
  <c r="A998"/>
  <c r="Q963"/>
  <c r="A963"/>
  <c r="S963"/>
  <c r="R963"/>
  <c r="Q958"/>
  <c r="A958"/>
  <c r="S958"/>
  <c r="R958"/>
  <c r="Q950"/>
  <c r="A950"/>
  <c r="S950"/>
  <c r="R950"/>
  <c r="Q948"/>
  <c r="A948"/>
  <c r="S948"/>
  <c r="R948"/>
  <c r="Q946"/>
  <c r="A946"/>
  <c r="S946"/>
  <c r="R946"/>
  <c r="A978"/>
  <c r="S988"/>
  <c r="Q934"/>
  <c r="Q932"/>
  <c r="S973"/>
  <c r="Q986"/>
  <c r="A977"/>
  <c r="S991"/>
  <c r="Q990"/>
  <c r="S986"/>
  <c r="A976"/>
  <c r="S990"/>
  <c r="S989"/>
  <c r="Q988"/>
  <c r="A56" i="55"/>
  <c r="B57"/>
  <c r="A57" s="1"/>
  <c r="S931" i="34"/>
  <c r="Q931"/>
  <c r="Q938"/>
  <c r="Q930"/>
  <c r="S987"/>
  <c r="Q973"/>
  <c r="Q991"/>
  <c r="Q989"/>
  <c r="Q987"/>
  <c r="R991"/>
  <c r="R990"/>
  <c r="R989"/>
  <c r="R988"/>
  <c r="R987"/>
  <c r="R986"/>
  <c r="A979"/>
  <c r="A980"/>
  <c r="R977"/>
  <c r="R978"/>
  <c r="R976"/>
  <c r="Q976"/>
  <c r="Q977"/>
  <c r="Q978"/>
  <c r="R973"/>
  <c r="R980"/>
  <c r="R979"/>
  <c r="Q979"/>
  <c r="Q980"/>
  <c r="S938"/>
  <c r="S930"/>
  <c r="R930"/>
  <c r="S934"/>
  <c r="S932"/>
  <c r="R938"/>
  <c r="R932"/>
  <c r="V931"/>
  <c r="T931"/>
  <c r="R931"/>
  <c r="R934"/>
  <c r="Q862"/>
  <c r="S862"/>
  <c r="Q863"/>
  <c r="S863"/>
  <c r="A862"/>
  <c r="A863"/>
  <c r="B928"/>
  <c r="B927"/>
  <c r="B926"/>
  <c r="B925"/>
  <c r="Q925" s="1"/>
  <c r="AD892"/>
  <c r="B924"/>
  <c r="R892"/>
  <c r="Q892"/>
  <c r="A892"/>
  <c r="S892"/>
  <c r="B893"/>
  <c r="B894"/>
  <c r="B895"/>
  <c r="B828"/>
  <c r="C818"/>
  <c r="C887"/>
  <c r="C888"/>
  <c r="C889"/>
  <c r="C890"/>
  <c r="C891"/>
  <c r="C896"/>
  <c r="C897"/>
  <c r="C898"/>
  <c r="C899"/>
  <c r="C878"/>
  <c r="C879"/>
  <c r="C880"/>
  <c r="C881"/>
  <c r="C882"/>
  <c r="C883"/>
  <c r="C884"/>
  <c r="C885"/>
  <c r="C886"/>
  <c r="M872"/>
  <c r="M873"/>
  <c r="M874"/>
  <c r="M875"/>
  <c r="M876"/>
  <c r="M877"/>
  <c r="M869"/>
  <c r="M870"/>
  <c r="M871"/>
  <c r="M868"/>
  <c r="C869"/>
  <c r="B869" s="1"/>
  <c r="C870"/>
  <c r="C871"/>
  <c r="C872"/>
  <c r="C873"/>
  <c r="C874"/>
  <c r="C875"/>
  <c r="C876"/>
  <c r="C877"/>
  <c r="C868"/>
  <c r="B868" s="1"/>
  <c r="M850"/>
  <c r="B850"/>
  <c r="A850" s="1"/>
  <c r="E850"/>
  <c r="P850"/>
  <c r="T850"/>
  <c r="U850"/>
  <c r="V850"/>
  <c r="W850"/>
  <c r="Y850"/>
  <c r="AB850"/>
  <c r="AC850"/>
  <c r="AD850"/>
  <c r="B851"/>
  <c r="A851" s="1"/>
  <c r="E851"/>
  <c r="P851"/>
  <c r="T851"/>
  <c r="U851"/>
  <c r="V851"/>
  <c r="W851"/>
  <c r="Y851"/>
  <c r="AB851"/>
  <c r="AC851"/>
  <c r="AD851"/>
  <c r="B836"/>
  <c r="A836" s="1"/>
  <c r="E836"/>
  <c r="P836"/>
  <c r="T836"/>
  <c r="U836"/>
  <c r="V836"/>
  <c r="W836"/>
  <c r="Y836"/>
  <c r="AB836"/>
  <c r="AC836"/>
  <c r="AD836"/>
  <c r="B837"/>
  <c r="A837" s="1"/>
  <c r="E837"/>
  <c r="P837"/>
  <c r="T837"/>
  <c r="U837"/>
  <c r="V837"/>
  <c r="W837"/>
  <c r="Y837"/>
  <c r="AB837"/>
  <c r="AC837"/>
  <c r="AD837"/>
  <c r="B826"/>
  <c r="A826" s="1"/>
  <c r="P826"/>
  <c r="T826"/>
  <c r="U826"/>
  <c r="V826"/>
  <c r="W826"/>
  <c r="Y826"/>
  <c r="AB826"/>
  <c r="AC826"/>
  <c r="AD826"/>
  <c r="B827"/>
  <c r="A827" s="1"/>
  <c r="P827"/>
  <c r="T827"/>
  <c r="U827"/>
  <c r="V827"/>
  <c r="W827"/>
  <c r="Y827"/>
  <c r="AB827"/>
  <c r="AC827"/>
  <c r="AD827"/>
  <c r="B832"/>
  <c r="A832" s="1"/>
  <c r="P832"/>
  <c r="T832"/>
  <c r="U832"/>
  <c r="V832"/>
  <c r="W832"/>
  <c r="Y832"/>
  <c r="AB832"/>
  <c r="AC832"/>
  <c r="AD832"/>
  <c r="B833"/>
  <c r="A833" s="1"/>
  <c r="P833"/>
  <c r="T833"/>
  <c r="U833"/>
  <c r="V833"/>
  <c r="W833"/>
  <c r="Y833"/>
  <c r="AB833"/>
  <c r="AC833"/>
  <c r="AD833"/>
  <c r="A15" i="12"/>
  <c r="B857" i="34"/>
  <c r="A857" s="1"/>
  <c r="E857"/>
  <c r="P857"/>
  <c r="T857"/>
  <c r="U857"/>
  <c r="V857"/>
  <c r="W857"/>
  <c r="Y857"/>
  <c r="AB857"/>
  <c r="AC857"/>
  <c r="AD857"/>
  <c r="B858"/>
  <c r="A858" s="1"/>
  <c r="E858"/>
  <c r="P858"/>
  <c r="T858"/>
  <c r="U858"/>
  <c r="V858"/>
  <c r="W858"/>
  <c r="Y858"/>
  <c r="AB858"/>
  <c r="AC858"/>
  <c r="AD858"/>
  <c r="A18" i="12"/>
  <c r="B724" i="34"/>
  <c r="A724" s="1"/>
  <c r="P724"/>
  <c r="T724"/>
  <c r="U724"/>
  <c r="V724"/>
  <c r="W724"/>
  <c r="Y724"/>
  <c r="AB724"/>
  <c r="AC724"/>
  <c r="AD724"/>
  <c r="B830"/>
  <c r="A830" s="1"/>
  <c r="P830"/>
  <c r="T830"/>
  <c r="U830"/>
  <c r="V830"/>
  <c r="W830"/>
  <c r="Y830"/>
  <c r="AB830"/>
  <c r="AC830"/>
  <c r="AD830"/>
  <c r="B831"/>
  <c r="A831" s="1"/>
  <c r="P831"/>
  <c r="T831"/>
  <c r="U831"/>
  <c r="V831"/>
  <c r="W831"/>
  <c r="Y831"/>
  <c r="AB831"/>
  <c r="AC831"/>
  <c r="AD831"/>
  <c r="E848"/>
  <c r="E849"/>
  <c r="M848"/>
  <c r="B848"/>
  <c r="A848" s="1"/>
  <c r="P848"/>
  <c r="T848"/>
  <c r="U848"/>
  <c r="V848"/>
  <c r="W848"/>
  <c r="Y848"/>
  <c r="AB848"/>
  <c r="AC848"/>
  <c r="AD848"/>
  <c r="B849"/>
  <c r="A849" s="1"/>
  <c r="P849"/>
  <c r="T849"/>
  <c r="U849"/>
  <c r="V849"/>
  <c r="W849"/>
  <c r="Y849"/>
  <c r="AB849"/>
  <c r="AC849"/>
  <c r="AD849"/>
  <c r="B825"/>
  <c r="A825" s="1"/>
  <c r="P825"/>
  <c r="T825"/>
  <c r="U825"/>
  <c r="V825"/>
  <c r="W825"/>
  <c r="Y825"/>
  <c r="AB825"/>
  <c r="AC825"/>
  <c r="AD825"/>
  <c r="E855"/>
  <c r="E856"/>
  <c r="E854"/>
  <c r="B811"/>
  <c r="A811" s="1"/>
  <c r="E811"/>
  <c r="P811"/>
  <c r="T811"/>
  <c r="U811"/>
  <c r="V811"/>
  <c r="W811"/>
  <c r="Y811"/>
  <c r="AB811"/>
  <c r="AC811"/>
  <c r="AD811"/>
  <c r="B853"/>
  <c r="A853" s="1"/>
  <c r="E853"/>
  <c r="P853"/>
  <c r="T853"/>
  <c r="U853"/>
  <c r="V853"/>
  <c r="W853"/>
  <c r="Y853"/>
  <c r="AB853"/>
  <c r="AC853"/>
  <c r="AD853"/>
  <c r="E852"/>
  <c r="B819"/>
  <c r="A819" s="1"/>
  <c r="E819"/>
  <c r="P819"/>
  <c r="T819"/>
  <c r="U819"/>
  <c r="V819"/>
  <c r="W819"/>
  <c r="Y819"/>
  <c r="AB819"/>
  <c r="AC819"/>
  <c r="AD819"/>
  <c r="A14" i="12"/>
  <c r="B21" i="55"/>
  <c r="A21" s="1"/>
  <c r="B847" i="34"/>
  <c r="A847" s="1"/>
  <c r="E847"/>
  <c r="P847"/>
  <c r="T847"/>
  <c r="U847"/>
  <c r="V847"/>
  <c r="W847"/>
  <c r="Y847"/>
  <c r="AB847"/>
  <c r="AC847"/>
  <c r="AD847"/>
  <c r="M846"/>
  <c r="B846"/>
  <c r="A846" s="1"/>
  <c r="E846"/>
  <c r="P846"/>
  <c r="T846"/>
  <c r="U846"/>
  <c r="V846"/>
  <c r="W846"/>
  <c r="Y846"/>
  <c r="AB846"/>
  <c r="AC846"/>
  <c r="AD846"/>
  <c r="B845"/>
  <c r="A845" s="1"/>
  <c r="E845"/>
  <c r="P845"/>
  <c r="T845"/>
  <c r="U845"/>
  <c r="V845"/>
  <c r="W845"/>
  <c r="Y845"/>
  <c r="AB845"/>
  <c r="AC845"/>
  <c r="AD845"/>
  <c r="M844"/>
  <c r="B844"/>
  <c r="A844" s="1"/>
  <c r="E844"/>
  <c r="P844"/>
  <c r="T844"/>
  <c r="U844"/>
  <c r="V844"/>
  <c r="W844"/>
  <c r="Y844"/>
  <c r="AB844"/>
  <c r="AC844"/>
  <c r="AD844"/>
  <c r="B843"/>
  <c r="A843" s="1"/>
  <c r="E843"/>
  <c r="P843"/>
  <c r="T843"/>
  <c r="U843"/>
  <c r="V843"/>
  <c r="W843"/>
  <c r="Y843"/>
  <c r="AB843"/>
  <c r="AC843"/>
  <c r="AD843"/>
  <c r="M842"/>
  <c r="B842"/>
  <c r="A842" s="1"/>
  <c r="E842"/>
  <c r="P842"/>
  <c r="T842"/>
  <c r="U842"/>
  <c r="V842"/>
  <c r="W842"/>
  <c r="Y842"/>
  <c r="AB842"/>
  <c r="AC842"/>
  <c r="AD842"/>
  <c r="B841"/>
  <c r="A841" s="1"/>
  <c r="E841"/>
  <c r="P841"/>
  <c r="T841"/>
  <c r="U841"/>
  <c r="V841"/>
  <c r="W841"/>
  <c r="Y841"/>
  <c r="AB841"/>
  <c r="AC841"/>
  <c r="AD841"/>
  <c r="B840"/>
  <c r="A840" s="1"/>
  <c r="E840"/>
  <c r="M840"/>
  <c r="P840"/>
  <c r="T840"/>
  <c r="U840"/>
  <c r="V840"/>
  <c r="W840"/>
  <c r="Y840"/>
  <c r="AB840"/>
  <c r="AC840"/>
  <c r="AD840"/>
  <c r="AD839"/>
  <c r="AC839"/>
  <c r="AB839"/>
  <c r="Y839"/>
  <c r="W839"/>
  <c r="V839"/>
  <c r="U839"/>
  <c r="T839"/>
  <c r="P839"/>
  <c r="M839"/>
  <c r="E839"/>
  <c r="B839"/>
  <c r="S839" s="1"/>
  <c r="E838"/>
  <c r="B835"/>
  <c r="A835" s="1"/>
  <c r="E835"/>
  <c r="P835"/>
  <c r="T835"/>
  <c r="U835"/>
  <c r="V835"/>
  <c r="W835"/>
  <c r="Y835"/>
  <c r="AB835"/>
  <c r="AC835"/>
  <c r="AD835"/>
  <c r="E834"/>
  <c r="B824"/>
  <c r="A824" s="1"/>
  <c r="E824"/>
  <c r="P824"/>
  <c r="T824"/>
  <c r="U824"/>
  <c r="V824"/>
  <c r="W824"/>
  <c r="Y824"/>
  <c r="AB824"/>
  <c r="AC824"/>
  <c r="AD824"/>
  <c r="E823"/>
  <c r="E822"/>
  <c r="E821"/>
  <c r="E820"/>
  <c r="B817"/>
  <c r="A817" s="1"/>
  <c r="E817"/>
  <c r="P817"/>
  <c r="T817"/>
  <c r="U817"/>
  <c r="V817"/>
  <c r="W817"/>
  <c r="Y817"/>
  <c r="AB817"/>
  <c r="AC817"/>
  <c r="AD817"/>
  <c r="E816"/>
  <c r="B815"/>
  <c r="A815" s="1"/>
  <c r="E815"/>
  <c r="P815"/>
  <c r="T815"/>
  <c r="U815"/>
  <c r="V815"/>
  <c r="W815"/>
  <c r="Y815"/>
  <c r="AB815"/>
  <c r="AC815"/>
  <c r="AD815"/>
  <c r="B813"/>
  <c r="A813" s="1"/>
  <c r="E813"/>
  <c r="P813"/>
  <c r="T813"/>
  <c r="U813"/>
  <c r="V813"/>
  <c r="W813"/>
  <c r="Y813"/>
  <c r="AB813"/>
  <c r="AC813"/>
  <c r="AD813"/>
  <c r="B814"/>
  <c r="A814" s="1"/>
  <c r="E814"/>
  <c r="P814"/>
  <c r="T814"/>
  <c r="U814"/>
  <c r="V814"/>
  <c r="W814"/>
  <c r="Y814"/>
  <c r="AB814"/>
  <c r="AC814"/>
  <c r="AD814"/>
  <c r="B812"/>
  <c r="A812" s="1"/>
  <c r="E812"/>
  <c r="P812"/>
  <c r="T812"/>
  <c r="U812"/>
  <c r="V812"/>
  <c r="W812"/>
  <c r="Y812"/>
  <c r="AB812"/>
  <c r="AC812"/>
  <c r="AD812"/>
  <c r="Q840" l="1"/>
  <c r="Q928"/>
  <c r="A928"/>
  <c r="S928"/>
  <c r="R928"/>
  <c r="Q927"/>
  <c r="A927"/>
  <c r="S927"/>
  <c r="R927"/>
  <c r="Q926"/>
  <c r="R926"/>
  <c r="A926"/>
  <c r="S926"/>
  <c r="R925"/>
  <c r="A925"/>
  <c r="S925"/>
  <c r="Q924"/>
  <c r="A924"/>
  <c r="S924"/>
  <c r="R924"/>
  <c r="Q893"/>
  <c r="A893"/>
  <c r="S893"/>
  <c r="R893"/>
  <c r="Q894"/>
  <c r="A894"/>
  <c r="S894"/>
  <c r="R894"/>
  <c r="Q895"/>
  <c r="A895"/>
  <c r="S895"/>
  <c r="R895"/>
  <c r="Q828"/>
  <c r="A828"/>
  <c r="S828"/>
  <c r="R828"/>
  <c r="R858"/>
  <c r="Q833"/>
  <c r="S833"/>
  <c r="Q724"/>
  <c r="S832"/>
  <c r="Q827"/>
  <c r="Q826"/>
  <c r="S826"/>
  <c r="R837"/>
  <c r="R836"/>
  <c r="R851"/>
  <c r="R850"/>
  <c r="S837"/>
  <c r="Q831"/>
  <c r="S830"/>
  <c r="R857"/>
  <c r="R832"/>
  <c r="Q837"/>
  <c r="R825"/>
  <c r="R849"/>
  <c r="R848"/>
  <c r="Q830"/>
  <c r="S724"/>
  <c r="Q832"/>
  <c r="S827"/>
  <c r="S851"/>
  <c r="Q851"/>
  <c r="S850"/>
  <c r="Q850"/>
  <c r="S836"/>
  <c r="Q836"/>
  <c r="R827"/>
  <c r="R826"/>
  <c r="R833"/>
  <c r="S857"/>
  <c r="Q857"/>
  <c r="S858"/>
  <c r="Q858"/>
  <c r="R724"/>
  <c r="S831"/>
  <c r="R824"/>
  <c r="A839"/>
  <c r="S840"/>
  <c r="S841"/>
  <c r="R844"/>
  <c r="S845"/>
  <c r="R831"/>
  <c r="R830"/>
  <c r="Q841"/>
  <c r="R843"/>
  <c r="R846"/>
  <c r="S847"/>
  <c r="R811"/>
  <c r="R842"/>
  <c r="S843"/>
  <c r="Q843"/>
  <c r="Q845"/>
  <c r="Q847"/>
  <c r="R853"/>
  <c r="S848"/>
  <c r="Q848"/>
  <c r="S849"/>
  <c r="Q849"/>
  <c r="S825"/>
  <c r="Q825"/>
  <c r="S811"/>
  <c r="Q811"/>
  <c r="S853"/>
  <c r="Q853"/>
  <c r="R819"/>
  <c r="S819"/>
  <c r="Q819"/>
  <c r="R847"/>
  <c r="S846"/>
  <c r="Q846"/>
  <c r="R845"/>
  <c r="S844"/>
  <c r="Q844"/>
  <c r="S842"/>
  <c r="Q842"/>
  <c r="R841"/>
  <c r="R840"/>
  <c r="R812"/>
  <c r="R814"/>
  <c r="R817"/>
  <c r="R835"/>
  <c r="R839"/>
  <c r="Q839"/>
  <c r="S835"/>
  <c r="Q835"/>
  <c r="S824"/>
  <c r="Q824"/>
  <c r="S814"/>
  <c r="Q814"/>
  <c r="R813"/>
  <c r="R815"/>
  <c r="S817"/>
  <c r="Q817"/>
  <c r="S815"/>
  <c r="Q815"/>
  <c r="S813"/>
  <c r="Q813"/>
  <c r="S812"/>
  <c r="Q812"/>
  <c r="B488"/>
  <c r="B508"/>
  <c r="B513"/>
  <c r="B511"/>
  <c r="B509"/>
  <c r="B493"/>
  <c r="A493" s="1"/>
  <c r="B491"/>
  <c r="B489"/>
  <c r="B564"/>
  <c r="A564" s="1"/>
  <c r="P564"/>
  <c r="T564"/>
  <c r="U564"/>
  <c r="V564"/>
  <c r="W564"/>
  <c r="Y564"/>
  <c r="AB564"/>
  <c r="AC564"/>
  <c r="AD564"/>
  <c r="B565"/>
  <c r="A565" s="1"/>
  <c r="P565"/>
  <c r="T565"/>
  <c r="U565"/>
  <c r="V565"/>
  <c r="W565"/>
  <c r="Y565"/>
  <c r="AB565"/>
  <c r="AC565"/>
  <c r="AD565"/>
  <c r="B560"/>
  <c r="A560" s="1"/>
  <c r="P560"/>
  <c r="T560"/>
  <c r="U560"/>
  <c r="V560"/>
  <c r="W560"/>
  <c r="Y560"/>
  <c r="AB560"/>
  <c r="AC560"/>
  <c r="AD560"/>
  <c r="B561"/>
  <c r="A561" s="1"/>
  <c r="P561"/>
  <c r="T561"/>
  <c r="U561"/>
  <c r="V561"/>
  <c r="W561"/>
  <c r="Y561"/>
  <c r="AB561"/>
  <c r="AC561"/>
  <c r="AD561"/>
  <c r="B562"/>
  <c r="A562" s="1"/>
  <c r="P562"/>
  <c r="T562"/>
  <c r="U562"/>
  <c r="V562"/>
  <c r="W562"/>
  <c r="Y562"/>
  <c r="AB562"/>
  <c r="AC562"/>
  <c r="AD562"/>
  <c r="B563"/>
  <c r="A563" s="1"/>
  <c r="P563"/>
  <c r="T563"/>
  <c r="U563"/>
  <c r="V563"/>
  <c r="W563"/>
  <c r="Y563"/>
  <c r="AB563"/>
  <c r="AC563"/>
  <c r="AD563"/>
  <c r="B486"/>
  <c r="A486" s="1"/>
  <c r="P486"/>
  <c r="T486"/>
  <c r="U486"/>
  <c r="V486"/>
  <c r="W486"/>
  <c r="Y486"/>
  <c r="AB486"/>
  <c r="AC486"/>
  <c r="AD486"/>
  <c r="B487"/>
  <c r="A487" s="1"/>
  <c r="P487"/>
  <c r="T487"/>
  <c r="U487"/>
  <c r="V487"/>
  <c r="W487"/>
  <c r="Y487"/>
  <c r="AB487"/>
  <c r="AC487"/>
  <c r="AD487"/>
  <c r="B492"/>
  <c r="A492" s="1"/>
  <c r="P492"/>
  <c r="T492"/>
  <c r="U492"/>
  <c r="V492"/>
  <c r="W492"/>
  <c r="Y492"/>
  <c r="AB492"/>
  <c r="AC492"/>
  <c r="AD492"/>
  <c r="P493"/>
  <c r="T493"/>
  <c r="U493"/>
  <c r="V493"/>
  <c r="W493"/>
  <c r="Y493"/>
  <c r="AB493"/>
  <c r="AC493"/>
  <c r="AD493"/>
  <c r="B660"/>
  <c r="A660" s="1"/>
  <c r="E805"/>
  <c r="M805"/>
  <c r="E802"/>
  <c r="E803"/>
  <c r="E804"/>
  <c r="M802"/>
  <c r="M803"/>
  <c r="M804"/>
  <c r="P20"/>
  <c r="T20"/>
  <c r="U20"/>
  <c r="V20"/>
  <c r="W20"/>
  <c r="Y20"/>
  <c r="AB20"/>
  <c r="AC20"/>
  <c r="P21"/>
  <c r="T21"/>
  <c r="U21"/>
  <c r="V21"/>
  <c r="W21"/>
  <c r="Y21"/>
  <c r="AB21"/>
  <c r="AC21"/>
  <c r="P22"/>
  <c r="T22"/>
  <c r="U22"/>
  <c r="V22"/>
  <c r="W22"/>
  <c r="Y22"/>
  <c r="AB22"/>
  <c r="AC22"/>
  <c r="P23"/>
  <c r="T23"/>
  <c r="U23"/>
  <c r="V23"/>
  <c r="W23"/>
  <c r="Y23"/>
  <c r="AB23"/>
  <c r="AC23"/>
  <c r="P24"/>
  <c r="T24"/>
  <c r="U24"/>
  <c r="V24"/>
  <c r="W24"/>
  <c r="Y24"/>
  <c r="AB24"/>
  <c r="AC24"/>
  <c r="P25"/>
  <c r="T25"/>
  <c r="U25"/>
  <c r="V25"/>
  <c r="W25"/>
  <c r="Y25"/>
  <c r="AB25"/>
  <c r="AC25"/>
  <c r="AD25"/>
  <c r="P26"/>
  <c r="T26"/>
  <c r="U26"/>
  <c r="V26"/>
  <c r="W26"/>
  <c r="Y26"/>
  <c r="AB26"/>
  <c r="AC26"/>
  <c r="AD26"/>
  <c r="P27"/>
  <c r="T27"/>
  <c r="U27"/>
  <c r="V27"/>
  <c r="W27"/>
  <c r="Y27"/>
  <c r="AB27"/>
  <c r="AC27"/>
  <c r="AD27"/>
  <c r="P28"/>
  <c r="T28"/>
  <c r="U28"/>
  <c r="V28"/>
  <c r="W28"/>
  <c r="Y28"/>
  <c r="AB28"/>
  <c r="AC28"/>
  <c r="AD28"/>
  <c r="P29"/>
  <c r="T29"/>
  <c r="U29"/>
  <c r="V29"/>
  <c r="W29"/>
  <c r="Y29"/>
  <c r="AB29"/>
  <c r="AC29"/>
  <c r="AD29"/>
  <c r="P30"/>
  <c r="T30"/>
  <c r="U30"/>
  <c r="V30"/>
  <c r="W30"/>
  <c r="Y30"/>
  <c r="AB30"/>
  <c r="AC30"/>
  <c r="AD30"/>
  <c r="P31"/>
  <c r="T31"/>
  <c r="U31"/>
  <c r="V31"/>
  <c r="W31"/>
  <c r="Y31"/>
  <c r="AB31"/>
  <c r="AC31"/>
  <c r="AD31"/>
  <c r="P32"/>
  <c r="T32"/>
  <c r="U32"/>
  <c r="V32"/>
  <c r="W32"/>
  <c r="Y32"/>
  <c r="AB32"/>
  <c r="AC32"/>
  <c r="AD32"/>
  <c r="P33"/>
  <c r="T33"/>
  <c r="U33"/>
  <c r="V33"/>
  <c r="W33"/>
  <c r="Y33"/>
  <c r="AB33"/>
  <c r="AC33"/>
  <c r="AD33"/>
  <c r="P34"/>
  <c r="T34"/>
  <c r="U34"/>
  <c r="V34"/>
  <c r="W34"/>
  <c r="Y34"/>
  <c r="AB34"/>
  <c r="AC34"/>
  <c r="AD34"/>
  <c r="P35"/>
  <c r="T35"/>
  <c r="U35"/>
  <c r="V35"/>
  <c r="W35"/>
  <c r="Y35"/>
  <c r="AB35"/>
  <c r="AC35"/>
  <c r="AD35"/>
  <c r="P36"/>
  <c r="T36"/>
  <c r="U36"/>
  <c r="V36"/>
  <c r="W36"/>
  <c r="Y36"/>
  <c r="AB36"/>
  <c r="AC36"/>
  <c r="AD36"/>
  <c r="P37"/>
  <c r="T37"/>
  <c r="U37"/>
  <c r="V37"/>
  <c r="W37"/>
  <c r="Y37"/>
  <c r="AB37"/>
  <c r="AC37"/>
  <c r="AD37"/>
  <c r="P38"/>
  <c r="T38"/>
  <c r="U38"/>
  <c r="V38"/>
  <c r="W38"/>
  <c r="Y38"/>
  <c r="AB38"/>
  <c r="AC38"/>
  <c r="AD38"/>
  <c r="P39"/>
  <c r="T39"/>
  <c r="U39"/>
  <c r="V39"/>
  <c r="W39"/>
  <c r="Y39"/>
  <c r="AB39"/>
  <c r="AC39"/>
  <c r="AD39"/>
  <c r="P40"/>
  <c r="T40"/>
  <c r="U40"/>
  <c r="V40"/>
  <c r="W40"/>
  <c r="Y40"/>
  <c r="AB40"/>
  <c r="AC40"/>
  <c r="AD40"/>
  <c r="P41"/>
  <c r="T41"/>
  <c r="U41"/>
  <c r="V41"/>
  <c r="W41"/>
  <c r="Y41"/>
  <c r="AB41"/>
  <c r="AC41"/>
  <c r="AD41"/>
  <c r="P42"/>
  <c r="T42"/>
  <c r="U42"/>
  <c r="V42"/>
  <c r="W42"/>
  <c r="Y42"/>
  <c r="AB42"/>
  <c r="AC42"/>
  <c r="AD42"/>
  <c r="P43"/>
  <c r="T43"/>
  <c r="U43"/>
  <c r="V43"/>
  <c r="W43"/>
  <c r="Y43"/>
  <c r="AB43"/>
  <c r="AC43"/>
  <c r="AD43"/>
  <c r="P44"/>
  <c r="T44"/>
  <c r="U44"/>
  <c r="V44"/>
  <c r="W44"/>
  <c r="Y44"/>
  <c r="AB44"/>
  <c r="AC44"/>
  <c r="AD44"/>
  <c r="P45"/>
  <c r="T45"/>
  <c r="U45"/>
  <c r="V45"/>
  <c r="W45"/>
  <c r="Y45"/>
  <c r="AB45"/>
  <c r="AC45"/>
  <c r="AD45"/>
  <c r="P46"/>
  <c r="T46"/>
  <c r="U46"/>
  <c r="V46"/>
  <c r="W46"/>
  <c r="Y46"/>
  <c r="AB46"/>
  <c r="AC46"/>
  <c r="AD46"/>
  <c r="P47"/>
  <c r="T47"/>
  <c r="U47"/>
  <c r="V47"/>
  <c r="W47"/>
  <c r="Y47"/>
  <c r="AB47"/>
  <c r="AC47"/>
  <c r="AD47"/>
  <c r="P48"/>
  <c r="T48"/>
  <c r="U48"/>
  <c r="V48"/>
  <c r="W48"/>
  <c r="Y48"/>
  <c r="AB48"/>
  <c r="AC48"/>
  <c r="AD48"/>
  <c r="P49"/>
  <c r="T49"/>
  <c r="U49"/>
  <c r="V49"/>
  <c r="W49"/>
  <c r="Y49"/>
  <c r="AB49"/>
  <c r="AC49"/>
  <c r="AD49"/>
  <c r="P50"/>
  <c r="T50"/>
  <c r="U50"/>
  <c r="V50"/>
  <c r="W50"/>
  <c r="Y50"/>
  <c r="AB50"/>
  <c r="AC50"/>
  <c r="AD50"/>
  <c r="P51"/>
  <c r="T51"/>
  <c r="U51"/>
  <c r="V51"/>
  <c r="W51"/>
  <c r="Y51"/>
  <c r="AB51"/>
  <c r="AC51"/>
  <c r="AD51"/>
  <c r="P52"/>
  <c r="T52"/>
  <c r="U52"/>
  <c r="V52"/>
  <c r="W52"/>
  <c r="Y52"/>
  <c r="AB52"/>
  <c r="AC52"/>
  <c r="AD52"/>
  <c r="P53"/>
  <c r="T53"/>
  <c r="U53"/>
  <c r="V53"/>
  <c r="W53"/>
  <c r="Y53"/>
  <c r="AB53"/>
  <c r="AC53"/>
  <c r="AD53"/>
  <c r="P54"/>
  <c r="T54"/>
  <c r="U54"/>
  <c r="V54"/>
  <c r="W54"/>
  <c r="Y54"/>
  <c r="AB54"/>
  <c r="AC54"/>
  <c r="AD54"/>
  <c r="P55"/>
  <c r="T55"/>
  <c r="U55"/>
  <c r="V55"/>
  <c r="W55"/>
  <c r="Y55"/>
  <c r="AB55"/>
  <c r="AC55"/>
  <c r="AD55"/>
  <c r="P56"/>
  <c r="T56"/>
  <c r="U56"/>
  <c r="V56"/>
  <c r="W56"/>
  <c r="Y56"/>
  <c r="AB56"/>
  <c r="AC56"/>
  <c r="AD56"/>
  <c r="P57"/>
  <c r="T57"/>
  <c r="U57"/>
  <c r="V57"/>
  <c r="W57"/>
  <c r="Y57"/>
  <c r="AB57"/>
  <c r="AC57"/>
  <c r="AD57"/>
  <c r="P58"/>
  <c r="T58"/>
  <c r="U58"/>
  <c r="V58"/>
  <c r="W58"/>
  <c r="Y58"/>
  <c r="AB58"/>
  <c r="AC58"/>
  <c r="AD58"/>
  <c r="P59"/>
  <c r="T59"/>
  <c r="U59"/>
  <c r="V59"/>
  <c r="W59"/>
  <c r="Y59"/>
  <c r="AB59"/>
  <c r="AC59"/>
  <c r="AD59"/>
  <c r="P60"/>
  <c r="T60"/>
  <c r="U60"/>
  <c r="V60"/>
  <c r="W60"/>
  <c r="Y60"/>
  <c r="AB60"/>
  <c r="AC60"/>
  <c r="AD60"/>
  <c r="P61"/>
  <c r="T61"/>
  <c r="U61"/>
  <c r="V61"/>
  <c r="W61"/>
  <c r="Y61"/>
  <c r="AB61"/>
  <c r="AC61"/>
  <c r="AD61"/>
  <c r="P62"/>
  <c r="T62"/>
  <c r="U62"/>
  <c r="V62"/>
  <c r="W62"/>
  <c r="Y62"/>
  <c r="AB62"/>
  <c r="AC62"/>
  <c r="AD62"/>
  <c r="P63"/>
  <c r="T63"/>
  <c r="U63"/>
  <c r="V63"/>
  <c r="W63"/>
  <c r="Y63"/>
  <c r="AB63"/>
  <c r="AC63"/>
  <c r="AD63"/>
  <c r="P64"/>
  <c r="T64"/>
  <c r="U64"/>
  <c r="V64"/>
  <c r="W64"/>
  <c r="Y64"/>
  <c r="AB64"/>
  <c r="AC64"/>
  <c r="AD64"/>
  <c r="P65"/>
  <c r="T65"/>
  <c r="U65"/>
  <c r="V65"/>
  <c r="W65"/>
  <c r="Y65"/>
  <c r="AB65"/>
  <c r="AC65"/>
  <c r="AD65"/>
  <c r="P66"/>
  <c r="T66"/>
  <c r="U66"/>
  <c r="V66"/>
  <c r="W66"/>
  <c r="Y66"/>
  <c r="AB66"/>
  <c r="AC66"/>
  <c r="AD66"/>
  <c r="P67"/>
  <c r="T67"/>
  <c r="U67"/>
  <c r="V67"/>
  <c r="W67"/>
  <c r="Y67"/>
  <c r="AB67"/>
  <c r="AC67"/>
  <c r="AD67"/>
  <c r="P68"/>
  <c r="T68"/>
  <c r="U68"/>
  <c r="V68"/>
  <c r="W68"/>
  <c r="Y68"/>
  <c r="AB68"/>
  <c r="AC68"/>
  <c r="AD68"/>
  <c r="P69"/>
  <c r="T69"/>
  <c r="U69"/>
  <c r="V69"/>
  <c r="W69"/>
  <c r="Y69"/>
  <c r="AB69"/>
  <c r="AC69"/>
  <c r="AD69"/>
  <c r="P70"/>
  <c r="T70"/>
  <c r="U70"/>
  <c r="V70"/>
  <c r="W70"/>
  <c r="Y70"/>
  <c r="AB70"/>
  <c r="AC70"/>
  <c r="AD70"/>
  <c r="P71"/>
  <c r="T71"/>
  <c r="U71"/>
  <c r="V71"/>
  <c r="W71"/>
  <c r="Y71"/>
  <c r="AB71"/>
  <c r="AC71"/>
  <c r="AD71"/>
  <c r="P72"/>
  <c r="T72"/>
  <c r="U72"/>
  <c r="V72"/>
  <c r="W72"/>
  <c r="Y72"/>
  <c r="AB72"/>
  <c r="AC72"/>
  <c r="AD72"/>
  <c r="P73"/>
  <c r="T73"/>
  <c r="U73"/>
  <c r="V73"/>
  <c r="W73"/>
  <c r="Y73"/>
  <c r="AB73"/>
  <c r="AC73"/>
  <c r="AD73"/>
  <c r="P74"/>
  <c r="T74"/>
  <c r="U74"/>
  <c r="V74"/>
  <c r="W74"/>
  <c r="Y74"/>
  <c r="AB74"/>
  <c r="AC74"/>
  <c r="AD74"/>
  <c r="P75"/>
  <c r="T75"/>
  <c r="U75"/>
  <c r="V75"/>
  <c r="W75"/>
  <c r="Y75"/>
  <c r="AB75"/>
  <c r="AC75"/>
  <c r="AD75"/>
  <c r="P76"/>
  <c r="T76"/>
  <c r="U76"/>
  <c r="V76"/>
  <c r="W76"/>
  <c r="Y76"/>
  <c r="AB76"/>
  <c r="AC76"/>
  <c r="AD76"/>
  <c r="P77"/>
  <c r="T77"/>
  <c r="U77"/>
  <c r="V77"/>
  <c r="W77"/>
  <c r="Y77"/>
  <c r="AB77"/>
  <c r="AC77"/>
  <c r="AD77"/>
  <c r="P78"/>
  <c r="T78"/>
  <c r="U78"/>
  <c r="V78"/>
  <c r="W78"/>
  <c r="Y78"/>
  <c r="AB78"/>
  <c r="AC78"/>
  <c r="AD78"/>
  <c r="P79"/>
  <c r="T79"/>
  <c r="U79"/>
  <c r="V79"/>
  <c r="W79"/>
  <c r="Y79"/>
  <c r="AB79"/>
  <c r="AC79"/>
  <c r="AD79"/>
  <c r="P80"/>
  <c r="T80"/>
  <c r="U80"/>
  <c r="V80"/>
  <c r="W80"/>
  <c r="Y80"/>
  <c r="AB80"/>
  <c r="AC80"/>
  <c r="P81"/>
  <c r="T81"/>
  <c r="U81"/>
  <c r="V81"/>
  <c r="W81"/>
  <c r="Y81"/>
  <c r="AB81"/>
  <c r="AC81"/>
  <c r="P82"/>
  <c r="T82"/>
  <c r="U82"/>
  <c r="V82"/>
  <c r="W82"/>
  <c r="Y82"/>
  <c r="AB82"/>
  <c r="AC82"/>
  <c r="P83"/>
  <c r="T83"/>
  <c r="U83"/>
  <c r="V83"/>
  <c r="W83"/>
  <c r="Y83"/>
  <c r="AB83"/>
  <c r="AC83"/>
  <c r="P84"/>
  <c r="T84"/>
  <c r="U84"/>
  <c r="V84"/>
  <c r="W84"/>
  <c r="Y84"/>
  <c r="AB84"/>
  <c r="AC84"/>
  <c r="P85"/>
  <c r="T85"/>
  <c r="U85"/>
  <c r="V85"/>
  <c r="W85"/>
  <c r="Y85"/>
  <c r="AB85"/>
  <c r="AC85"/>
  <c r="P86"/>
  <c r="T86"/>
  <c r="U86"/>
  <c r="V86"/>
  <c r="W86"/>
  <c r="Y86"/>
  <c r="AB86"/>
  <c r="AC86"/>
  <c r="P87"/>
  <c r="T87"/>
  <c r="U87"/>
  <c r="V87"/>
  <c r="W87"/>
  <c r="Y87"/>
  <c r="AB87"/>
  <c r="AC87"/>
  <c r="P88"/>
  <c r="T88"/>
  <c r="U88"/>
  <c r="V88"/>
  <c r="W88"/>
  <c r="Y88"/>
  <c r="AB88"/>
  <c r="AC88"/>
  <c r="P89"/>
  <c r="T89"/>
  <c r="U89"/>
  <c r="V89"/>
  <c r="W89"/>
  <c r="Y89"/>
  <c r="AB89"/>
  <c r="AC89"/>
  <c r="P90"/>
  <c r="T90"/>
  <c r="U90"/>
  <c r="V90"/>
  <c r="W90"/>
  <c r="Y90"/>
  <c r="AB90"/>
  <c r="AC90"/>
  <c r="AD90"/>
  <c r="P91"/>
  <c r="T91"/>
  <c r="U91"/>
  <c r="V91"/>
  <c r="W91"/>
  <c r="Y91"/>
  <c r="AB91"/>
  <c r="AC91"/>
  <c r="P92"/>
  <c r="T92"/>
  <c r="U92"/>
  <c r="V92"/>
  <c r="W92"/>
  <c r="Y92"/>
  <c r="AB92"/>
  <c r="AC92"/>
  <c r="P93"/>
  <c r="T93"/>
  <c r="U93"/>
  <c r="V93"/>
  <c r="W93"/>
  <c r="Y93"/>
  <c r="AB93"/>
  <c r="AC93"/>
  <c r="P94"/>
  <c r="T94"/>
  <c r="U94"/>
  <c r="V94"/>
  <c r="W94"/>
  <c r="Y94"/>
  <c r="AB94"/>
  <c r="AC94"/>
  <c r="P95"/>
  <c r="T95"/>
  <c r="U95"/>
  <c r="V95"/>
  <c r="W95"/>
  <c r="Y95"/>
  <c r="AB95"/>
  <c r="AC95"/>
  <c r="P96"/>
  <c r="T96"/>
  <c r="U96"/>
  <c r="V96"/>
  <c r="W96"/>
  <c r="Y96"/>
  <c r="AB96"/>
  <c r="AC96"/>
  <c r="P97"/>
  <c r="T97"/>
  <c r="U97"/>
  <c r="V97"/>
  <c r="W97"/>
  <c r="Y97"/>
  <c r="AB97"/>
  <c r="AC97"/>
  <c r="P98"/>
  <c r="T98"/>
  <c r="U98"/>
  <c r="V98"/>
  <c r="W98"/>
  <c r="Y98"/>
  <c r="AB98"/>
  <c r="AC98"/>
  <c r="P99"/>
  <c r="T99"/>
  <c r="U99"/>
  <c r="V99"/>
  <c r="W99"/>
  <c r="Y99"/>
  <c r="AB99"/>
  <c r="AC99"/>
  <c r="P100"/>
  <c r="T100"/>
  <c r="U100"/>
  <c r="V100"/>
  <c r="W100"/>
  <c r="Y100"/>
  <c r="AB100"/>
  <c r="AC100"/>
  <c r="P101"/>
  <c r="T101"/>
  <c r="U101"/>
  <c r="V101"/>
  <c r="W101"/>
  <c r="Y101"/>
  <c r="AB101"/>
  <c r="AC101"/>
  <c r="P102"/>
  <c r="T102"/>
  <c r="U102"/>
  <c r="V102"/>
  <c r="W102"/>
  <c r="Y102"/>
  <c r="AB102"/>
  <c r="AC102"/>
  <c r="P103"/>
  <c r="T103"/>
  <c r="U103"/>
  <c r="V103"/>
  <c r="W103"/>
  <c r="Y103"/>
  <c r="AB103"/>
  <c r="AC103"/>
  <c r="P104"/>
  <c r="T104"/>
  <c r="U104"/>
  <c r="V104"/>
  <c r="W104"/>
  <c r="Y104"/>
  <c r="AB104"/>
  <c r="AC104"/>
  <c r="P105"/>
  <c r="T105"/>
  <c r="U105"/>
  <c r="V105"/>
  <c r="W105"/>
  <c r="Y105"/>
  <c r="AB105"/>
  <c r="AC105"/>
  <c r="P106"/>
  <c r="T106"/>
  <c r="U106"/>
  <c r="V106"/>
  <c r="W106"/>
  <c r="Y106"/>
  <c r="AB106"/>
  <c r="AC106"/>
  <c r="P107"/>
  <c r="T107"/>
  <c r="U107"/>
  <c r="V107"/>
  <c r="W107"/>
  <c r="Y107"/>
  <c r="AB107"/>
  <c r="AC107"/>
  <c r="P108"/>
  <c r="T108"/>
  <c r="U108"/>
  <c r="V108"/>
  <c r="W108"/>
  <c r="Y108"/>
  <c r="AB108"/>
  <c r="AC108"/>
  <c r="P109"/>
  <c r="T109"/>
  <c r="U109"/>
  <c r="V109"/>
  <c r="W109"/>
  <c r="Y109"/>
  <c r="AB109"/>
  <c r="AC109"/>
  <c r="P110"/>
  <c r="T110"/>
  <c r="U110"/>
  <c r="V110"/>
  <c r="W110"/>
  <c r="Y110"/>
  <c r="AB110"/>
  <c r="AC110"/>
  <c r="P111"/>
  <c r="T111"/>
  <c r="U111"/>
  <c r="V111"/>
  <c r="W111"/>
  <c r="Y111"/>
  <c r="AB111"/>
  <c r="AC111"/>
  <c r="P112"/>
  <c r="T112"/>
  <c r="U112"/>
  <c r="V112"/>
  <c r="W112"/>
  <c r="Y112"/>
  <c r="AB112"/>
  <c r="AC112"/>
  <c r="P113"/>
  <c r="T113"/>
  <c r="U113"/>
  <c r="V113"/>
  <c r="W113"/>
  <c r="Y113"/>
  <c r="AB113"/>
  <c r="AC113"/>
  <c r="P114"/>
  <c r="T114"/>
  <c r="U114"/>
  <c r="V114"/>
  <c r="W114"/>
  <c r="Y114"/>
  <c r="AB114"/>
  <c r="AC114"/>
  <c r="P115"/>
  <c r="T115"/>
  <c r="U115"/>
  <c r="V115"/>
  <c r="W115"/>
  <c r="Y115"/>
  <c r="AB115"/>
  <c r="AC115"/>
  <c r="P116"/>
  <c r="T116"/>
  <c r="U116"/>
  <c r="V116"/>
  <c r="W116"/>
  <c r="Y116"/>
  <c r="AB116"/>
  <c r="AC116"/>
  <c r="P117"/>
  <c r="T117"/>
  <c r="U117"/>
  <c r="V117"/>
  <c r="W117"/>
  <c r="Y117"/>
  <c r="AB117"/>
  <c r="AC117"/>
  <c r="P118"/>
  <c r="T118"/>
  <c r="U118"/>
  <c r="V118"/>
  <c r="W118"/>
  <c r="Y118"/>
  <c r="AB118"/>
  <c r="AC118"/>
  <c r="P119"/>
  <c r="T119"/>
  <c r="U119"/>
  <c r="V119"/>
  <c r="W119"/>
  <c r="Y119"/>
  <c r="AB119"/>
  <c r="AC119"/>
  <c r="P120"/>
  <c r="T120"/>
  <c r="U120"/>
  <c r="V120"/>
  <c r="W120"/>
  <c r="Y120"/>
  <c r="AB120"/>
  <c r="AC120"/>
  <c r="P121"/>
  <c r="T121"/>
  <c r="U121"/>
  <c r="V121"/>
  <c r="W121"/>
  <c r="Y121"/>
  <c r="AB121"/>
  <c r="AC121"/>
  <c r="P122"/>
  <c r="T122"/>
  <c r="U122"/>
  <c r="V122"/>
  <c r="W122"/>
  <c r="Y122"/>
  <c r="AB122"/>
  <c r="AC122"/>
  <c r="P123"/>
  <c r="T123"/>
  <c r="U123"/>
  <c r="V123"/>
  <c r="W123"/>
  <c r="Y123"/>
  <c r="AB123"/>
  <c r="AC123"/>
  <c r="P124"/>
  <c r="T124"/>
  <c r="U124"/>
  <c r="V124"/>
  <c r="W124"/>
  <c r="Y124"/>
  <c r="AB124"/>
  <c r="AC124"/>
  <c r="P125"/>
  <c r="T125"/>
  <c r="U125"/>
  <c r="V125"/>
  <c r="W125"/>
  <c r="Y125"/>
  <c r="AB125"/>
  <c r="AC125"/>
  <c r="P126"/>
  <c r="T126"/>
  <c r="U126"/>
  <c r="V126"/>
  <c r="W126"/>
  <c r="Y126"/>
  <c r="AB126"/>
  <c r="AC126"/>
  <c r="P127"/>
  <c r="T127"/>
  <c r="U127"/>
  <c r="V127"/>
  <c r="W127"/>
  <c r="Y127"/>
  <c r="AB127"/>
  <c r="AC127"/>
  <c r="P128"/>
  <c r="T128"/>
  <c r="U128"/>
  <c r="V128"/>
  <c r="W128"/>
  <c r="Y128"/>
  <c r="AB128"/>
  <c r="AC128"/>
  <c r="P129"/>
  <c r="T129"/>
  <c r="U129"/>
  <c r="V129"/>
  <c r="W129"/>
  <c r="Y129"/>
  <c r="AB129"/>
  <c r="AC129"/>
  <c r="P130"/>
  <c r="T130"/>
  <c r="U130"/>
  <c r="V130"/>
  <c r="W130"/>
  <c r="Y130"/>
  <c r="AB130"/>
  <c r="AC130"/>
  <c r="AD130"/>
  <c r="P131"/>
  <c r="T131"/>
  <c r="U131"/>
  <c r="V131"/>
  <c r="W131"/>
  <c r="Y131"/>
  <c r="AB131"/>
  <c r="AC131"/>
  <c r="AD131"/>
  <c r="P132"/>
  <c r="T132"/>
  <c r="U132"/>
  <c r="V132"/>
  <c r="W132"/>
  <c r="Y132"/>
  <c r="AB132"/>
  <c r="AC132"/>
  <c r="AD132"/>
  <c r="P133"/>
  <c r="T133"/>
  <c r="U133"/>
  <c r="V133"/>
  <c r="W133"/>
  <c r="Y133"/>
  <c r="AB133"/>
  <c r="AC133"/>
  <c r="AD133"/>
  <c r="P134"/>
  <c r="T134"/>
  <c r="U134"/>
  <c r="V134"/>
  <c r="W134"/>
  <c r="Y134"/>
  <c r="AB134"/>
  <c r="AC134"/>
  <c r="AD134"/>
  <c r="P135"/>
  <c r="T135"/>
  <c r="U135"/>
  <c r="V135"/>
  <c r="W135"/>
  <c r="Y135"/>
  <c r="AB135"/>
  <c r="AC135"/>
  <c r="AD135"/>
  <c r="P136"/>
  <c r="T136"/>
  <c r="U136"/>
  <c r="V136"/>
  <c r="W136"/>
  <c r="Y136"/>
  <c r="AB136"/>
  <c r="AC136"/>
  <c r="AD136"/>
  <c r="P137"/>
  <c r="T137"/>
  <c r="U137"/>
  <c r="V137"/>
  <c r="W137"/>
  <c r="Y137"/>
  <c r="AB137"/>
  <c r="AC137"/>
  <c r="AD137"/>
  <c r="P138"/>
  <c r="T138"/>
  <c r="U138"/>
  <c r="V138"/>
  <c r="W138"/>
  <c r="Y138"/>
  <c r="AB138"/>
  <c r="AC138"/>
  <c r="AD138"/>
  <c r="P139"/>
  <c r="T139"/>
  <c r="U139"/>
  <c r="V139"/>
  <c r="W139"/>
  <c r="Y139"/>
  <c r="AB139"/>
  <c r="AC139"/>
  <c r="AD139"/>
  <c r="P140"/>
  <c r="T140"/>
  <c r="U140"/>
  <c r="V140"/>
  <c r="W140"/>
  <c r="Y140"/>
  <c r="AB140"/>
  <c r="AC140"/>
  <c r="AD140"/>
  <c r="P141"/>
  <c r="T141"/>
  <c r="U141"/>
  <c r="V141"/>
  <c r="W141"/>
  <c r="Y141"/>
  <c r="AB141"/>
  <c r="AC141"/>
  <c r="AD141"/>
  <c r="P142"/>
  <c r="T142"/>
  <c r="U142"/>
  <c r="V142"/>
  <c r="W142"/>
  <c r="Y142"/>
  <c r="AB142"/>
  <c r="AC142"/>
  <c r="AD142"/>
  <c r="P143"/>
  <c r="T143"/>
  <c r="U143"/>
  <c r="V143"/>
  <c r="W143"/>
  <c r="Y143"/>
  <c r="AB143"/>
  <c r="AC143"/>
  <c r="AD143"/>
  <c r="P144"/>
  <c r="T144"/>
  <c r="U144"/>
  <c r="V144"/>
  <c r="W144"/>
  <c r="Y144"/>
  <c r="AB144"/>
  <c r="AC144"/>
  <c r="AD144"/>
  <c r="P145"/>
  <c r="T145"/>
  <c r="U145"/>
  <c r="V145"/>
  <c r="W145"/>
  <c r="Y145"/>
  <c r="AB145"/>
  <c r="AC145"/>
  <c r="AD145"/>
  <c r="P146"/>
  <c r="T146"/>
  <c r="U146"/>
  <c r="V146"/>
  <c r="W146"/>
  <c r="Y146"/>
  <c r="AB146"/>
  <c r="AC146"/>
  <c r="AD146"/>
  <c r="P147"/>
  <c r="T147"/>
  <c r="U147"/>
  <c r="V147"/>
  <c r="W147"/>
  <c r="Y147"/>
  <c r="AB147"/>
  <c r="AC147"/>
  <c r="AD147"/>
  <c r="P148"/>
  <c r="T148"/>
  <c r="U148"/>
  <c r="V148"/>
  <c r="W148"/>
  <c r="Y148"/>
  <c r="AB148"/>
  <c r="AC148"/>
  <c r="AD148"/>
  <c r="P149"/>
  <c r="T149"/>
  <c r="U149"/>
  <c r="V149"/>
  <c r="W149"/>
  <c r="Y149"/>
  <c r="AB149"/>
  <c r="AC149"/>
  <c r="AD149"/>
  <c r="P150"/>
  <c r="T150"/>
  <c r="U150"/>
  <c r="V150"/>
  <c r="W150"/>
  <c r="Y150"/>
  <c r="AB150"/>
  <c r="AC150"/>
  <c r="AD150"/>
  <c r="P151"/>
  <c r="T151"/>
  <c r="U151"/>
  <c r="V151"/>
  <c r="W151"/>
  <c r="Y151"/>
  <c r="AB151"/>
  <c r="AC151"/>
  <c r="P152"/>
  <c r="T152"/>
  <c r="U152"/>
  <c r="V152"/>
  <c r="W152"/>
  <c r="Y152"/>
  <c r="AB152"/>
  <c r="AC152"/>
  <c r="P153"/>
  <c r="T153"/>
  <c r="U153"/>
  <c r="V153"/>
  <c r="W153"/>
  <c r="Y153"/>
  <c r="AB153"/>
  <c r="AC153"/>
  <c r="P154"/>
  <c r="T154"/>
  <c r="U154"/>
  <c r="V154"/>
  <c r="W154"/>
  <c r="Y154"/>
  <c r="AB154"/>
  <c r="AC154"/>
  <c r="P155"/>
  <c r="T155"/>
  <c r="U155"/>
  <c r="V155"/>
  <c r="W155"/>
  <c r="Y155"/>
  <c r="AB155"/>
  <c r="AC155"/>
  <c r="P156"/>
  <c r="T156"/>
  <c r="U156"/>
  <c r="V156"/>
  <c r="W156"/>
  <c r="Y156"/>
  <c r="AB156"/>
  <c r="AC156"/>
  <c r="P157"/>
  <c r="T157"/>
  <c r="U157"/>
  <c r="V157"/>
  <c r="W157"/>
  <c r="Y157"/>
  <c r="AB157"/>
  <c r="AC157"/>
  <c r="P158"/>
  <c r="T158"/>
  <c r="U158"/>
  <c r="V158"/>
  <c r="W158"/>
  <c r="Y158"/>
  <c r="AB158"/>
  <c r="AC158"/>
  <c r="P159"/>
  <c r="T159"/>
  <c r="U159"/>
  <c r="V159"/>
  <c r="W159"/>
  <c r="Y159"/>
  <c r="AB159"/>
  <c r="AC159"/>
  <c r="P160"/>
  <c r="T160"/>
  <c r="U160"/>
  <c r="V160"/>
  <c r="W160"/>
  <c r="Y160"/>
  <c r="AB160"/>
  <c r="AC160"/>
  <c r="P161"/>
  <c r="T161"/>
  <c r="U161"/>
  <c r="V161"/>
  <c r="W161"/>
  <c r="Y161"/>
  <c r="AB161"/>
  <c r="AC161"/>
  <c r="P162"/>
  <c r="T162"/>
  <c r="U162"/>
  <c r="V162"/>
  <c r="W162"/>
  <c r="Y162"/>
  <c r="AB162"/>
  <c r="AC162"/>
  <c r="P163"/>
  <c r="T163"/>
  <c r="U163"/>
  <c r="V163"/>
  <c r="W163"/>
  <c r="Y163"/>
  <c r="AB163"/>
  <c r="AC163"/>
  <c r="P164"/>
  <c r="T164"/>
  <c r="U164"/>
  <c r="V164"/>
  <c r="W164"/>
  <c r="Y164"/>
  <c r="AB164"/>
  <c r="AC164"/>
  <c r="P165"/>
  <c r="T165"/>
  <c r="U165"/>
  <c r="V165"/>
  <c r="W165"/>
  <c r="Y165"/>
  <c r="AB165"/>
  <c r="AC165"/>
  <c r="P166"/>
  <c r="T166"/>
  <c r="U166"/>
  <c r="V166"/>
  <c r="W166"/>
  <c r="Y166"/>
  <c r="AB166"/>
  <c r="AC166"/>
  <c r="P167"/>
  <c r="T167"/>
  <c r="U167"/>
  <c r="V167"/>
  <c r="W167"/>
  <c r="Y167"/>
  <c r="AB167"/>
  <c r="AC167"/>
  <c r="P168"/>
  <c r="T168"/>
  <c r="U168"/>
  <c r="V168"/>
  <c r="W168"/>
  <c r="Y168"/>
  <c r="AB168"/>
  <c r="AC168"/>
  <c r="P169"/>
  <c r="T169"/>
  <c r="U169"/>
  <c r="V169"/>
  <c r="W169"/>
  <c r="Y169"/>
  <c r="AB169"/>
  <c r="AC169"/>
  <c r="P170"/>
  <c r="T170"/>
  <c r="U170"/>
  <c r="V170"/>
  <c r="W170"/>
  <c r="Y170"/>
  <c r="AB170"/>
  <c r="AC170"/>
  <c r="P171"/>
  <c r="T171"/>
  <c r="U171"/>
  <c r="V171"/>
  <c r="W171"/>
  <c r="Y171"/>
  <c r="AB171"/>
  <c r="AC171"/>
  <c r="P172"/>
  <c r="T172"/>
  <c r="U172"/>
  <c r="V172"/>
  <c r="W172"/>
  <c r="Y172"/>
  <c r="AB172"/>
  <c r="AC172"/>
  <c r="P173"/>
  <c r="T173"/>
  <c r="U173"/>
  <c r="V173"/>
  <c r="W173"/>
  <c r="Y173"/>
  <c r="AB173"/>
  <c r="AC173"/>
  <c r="P174"/>
  <c r="T174"/>
  <c r="U174"/>
  <c r="V174"/>
  <c r="W174"/>
  <c r="Y174"/>
  <c r="AB174"/>
  <c r="AC174"/>
  <c r="P175"/>
  <c r="T175"/>
  <c r="U175"/>
  <c r="V175"/>
  <c r="W175"/>
  <c r="Y175"/>
  <c r="AB175"/>
  <c r="AC175"/>
  <c r="P176"/>
  <c r="T176"/>
  <c r="U176"/>
  <c r="V176"/>
  <c r="W176"/>
  <c r="Y176"/>
  <c r="AB176"/>
  <c r="AC176"/>
  <c r="P177"/>
  <c r="T177"/>
  <c r="U177"/>
  <c r="V177"/>
  <c r="W177"/>
  <c r="Y177"/>
  <c r="AB177"/>
  <c r="AC177"/>
  <c r="P178"/>
  <c r="T178"/>
  <c r="U178"/>
  <c r="V178"/>
  <c r="W178"/>
  <c r="Y178"/>
  <c r="AB178"/>
  <c r="AC178"/>
  <c r="P179"/>
  <c r="T179"/>
  <c r="U179"/>
  <c r="V179"/>
  <c r="W179"/>
  <c r="Y179"/>
  <c r="AB179"/>
  <c r="AC179"/>
  <c r="P180"/>
  <c r="T180"/>
  <c r="U180"/>
  <c r="V180"/>
  <c r="W180"/>
  <c r="Y180"/>
  <c r="AB180"/>
  <c r="AC180"/>
  <c r="P181"/>
  <c r="T181"/>
  <c r="U181"/>
  <c r="V181"/>
  <c r="W181"/>
  <c r="Y181"/>
  <c r="AB181"/>
  <c r="AC181"/>
  <c r="P182"/>
  <c r="T182"/>
  <c r="U182"/>
  <c r="V182"/>
  <c r="W182"/>
  <c r="Y182"/>
  <c r="AB182"/>
  <c r="AC182"/>
  <c r="P183"/>
  <c r="T183"/>
  <c r="U183"/>
  <c r="V183"/>
  <c r="W183"/>
  <c r="Y183"/>
  <c r="AB183"/>
  <c r="AC183"/>
  <c r="P184"/>
  <c r="T184"/>
  <c r="U184"/>
  <c r="V184"/>
  <c r="W184"/>
  <c r="Y184"/>
  <c r="AB184"/>
  <c r="AC184"/>
  <c r="P185"/>
  <c r="T185"/>
  <c r="U185"/>
  <c r="V185"/>
  <c r="W185"/>
  <c r="Y185"/>
  <c r="AB185"/>
  <c r="AC185"/>
  <c r="P186"/>
  <c r="T186"/>
  <c r="U186"/>
  <c r="V186"/>
  <c r="W186"/>
  <c r="Y186"/>
  <c r="AB186"/>
  <c r="AC186"/>
  <c r="P187"/>
  <c r="T187"/>
  <c r="U187"/>
  <c r="V187"/>
  <c r="W187"/>
  <c r="Y187"/>
  <c r="AB187"/>
  <c r="AC187"/>
  <c r="P188"/>
  <c r="T188"/>
  <c r="U188"/>
  <c r="V188"/>
  <c r="W188"/>
  <c r="Y188"/>
  <c r="AB188"/>
  <c r="AC188"/>
  <c r="P189"/>
  <c r="T189"/>
  <c r="U189"/>
  <c r="V189"/>
  <c r="W189"/>
  <c r="Y189"/>
  <c r="AB189"/>
  <c r="AC189"/>
  <c r="P190"/>
  <c r="T190"/>
  <c r="U190"/>
  <c r="V190"/>
  <c r="W190"/>
  <c r="Y190"/>
  <c r="AB190"/>
  <c r="AC190"/>
  <c r="P191"/>
  <c r="T191"/>
  <c r="U191"/>
  <c r="V191"/>
  <c r="W191"/>
  <c r="Y191"/>
  <c r="AB191"/>
  <c r="AC191"/>
  <c r="P192"/>
  <c r="T192"/>
  <c r="U192"/>
  <c r="V192"/>
  <c r="W192"/>
  <c r="Y192"/>
  <c r="AB192"/>
  <c r="AC192"/>
  <c r="P193"/>
  <c r="T193"/>
  <c r="U193"/>
  <c r="V193"/>
  <c r="W193"/>
  <c r="Y193"/>
  <c r="AB193"/>
  <c r="AC193"/>
  <c r="P194"/>
  <c r="T194"/>
  <c r="U194"/>
  <c r="V194"/>
  <c r="W194"/>
  <c r="Y194"/>
  <c r="AB194"/>
  <c r="AC194"/>
  <c r="P195"/>
  <c r="T195"/>
  <c r="U195"/>
  <c r="V195"/>
  <c r="W195"/>
  <c r="Y195"/>
  <c r="AB195"/>
  <c r="AC195"/>
  <c r="P196"/>
  <c r="T196"/>
  <c r="U196"/>
  <c r="V196"/>
  <c r="W196"/>
  <c r="Y196"/>
  <c r="AB196"/>
  <c r="AC196"/>
  <c r="P197"/>
  <c r="T197"/>
  <c r="U197"/>
  <c r="V197"/>
  <c r="W197"/>
  <c r="Y197"/>
  <c r="AB197"/>
  <c r="AC197"/>
  <c r="P198"/>
  <c r="T198"/>
  <c r="U198"/>
  <c r="V198"/>
  <c r="W198"/>
  <c r="Y198"/>
  <c r="AB198"/>
  <c r="AC198"/>
  <c r="P199"/>
  <c r="T199"/>
  <c r="U199"/>
  <c r="V199"/>
  <c r="W199"/>
  <c r="Y199"/>
  <c r="AB199"/>
  <c r="AC199"/>
  <c r="P200"/>
  <c r="T200"/>
  <c r="U200"/>
  <c r="V200"/>
  <c r="W200"/>
  <c r="Y200"/>
  <c r="AB200"/>
  <c r="AC200"/>
  <c r="P201"/>
  <c r="T201"/>
  <c r="U201"/>
  <c r="V201"/>
  <c r="W201"/>
  <c r="Y201"/>
  <c r="AB201"/>
  <c r="AC201"/>
  <c r="P202"/>
  <c r="T202"/>
  <c r="U202"/>
  <c r="V202"/>
  <c r="W202"/>
  <c r="Y202"/>
  <c r="AB202"/>
  <c r="AC202"/>
  <c r="P203"/>
  <c r="T203"/>
  <c r="U203"/>
  <c r="V203"/>
  <c r="W203"/>
  <c r="Y203"/>
  <c r="AB203"/>
  <c r="AC203"/>
  <c r="P204"/>
  <c r="T204"/>
  <c r="U204"/>
  <c r="V204"/>
  <c r="W204"/>
  <c r="Y204"/>
  <c r="AB204"/>
  <c r="AC204"/>
  <c r="P205"/>
  <c r="T205"/>
  <c r="U205"/>
  <c r="V205"/>
  <c r="W205"/>
  <c r="Y205"/>
  <c r="AB205"/>
  <c r="AC205"/>
  <c r="AD205"/>
  <c r="P206"/>
  <c r="T206"/>
  <c r="U206"/>
  <c r="V206"/>
  <c r="W206"/>
  <c r="Y206"/>
  <c r="AB206"/>
  <c r="AC206"/>
  <c r="AD206"/>
  <c r="P207"/>
  <c r="T207"/>
  <c r="U207"/>
  <c r="V207"/>
  <c r="W207"/>
  <c r="Y207"/>
  <c r="AB207"/>
  <c r="AC207"/>
  <c r="AD207"/>
  <c r="P208"/>
  <c r="T208"/>
  <c r="U208"/>
  <c r="V208"/>
  <c r="W208"/>
  <c r="Y208"/>
  <c r="AB208"/>
  <c r="AC208"/>
  <c r="AD208"/>
  <c r="P209"/>
  <c r="T209"/>
  <c r="U209"/>
  <c r="V209"/>
  <c r="W209"/>
  <c r="Y209"/>
  <c r="AB209"/>
  <c r="AC209"/>
  <c r="AD209"/>
  <c r="P210"/>
  <c r="T210"/>
  <c r="U210"/>
  <c r="V210"/>
  <c r="W210"/>
  <c r="Y210"/>
  <c r="AB210"/>
  <c r="AC210"/>
  <c r="AD210"/>
  <c r="P211"/>
  <c r="T211"/>
  <c r="U211"/>
  <c r="V211"/>
  <c r="W211"/>
  <c r="Y211"/>
  <c r="AB211"/>
  <c r="AC211"/>
  <c r="AD211"/>
  <c r="P212"/>
  <c r="T212"/>
  <c r="U212"/>
  <c r="V212"/>
  <c r="W212"/>
  <c r="Y212"/>
  <c r="AB212"/>
  <c r="AC212"/>
  <c r="AD212"/>
  <c r="P213"/>
  <c r="T213"/>
  <c r="U213"/>
  <c r="V213"/>
  <c r="W213"/>
  <c r="Y213"/>
  <c r="AB213"/>
  <c r="AC213"/>
  <c r="AD213"/>
  <c r="P214"/>
  <c r="T214"/>
  <c r="U214"/>
  <c r="V214"/>
  <c r="W214"/>
  <c r="Y214"/>
  <c r="AB214"/>
  <c r="AC214"/>
  <c r="AD214"/>
  <c r="P215"/>
  <c r="T215"/>
  <c r="U215"/>
  <c r="V215"/>
  <c r="W215"/>
  <c r="Y215"/>
  <c r="AB215"/>
  <c r="AC215"/>
  <c r="AD215"/>
  <c r="P216"/>
  <c r="W216"/>
  <c r="Y216"/>
  <c r="AB216"/>
  <c r="AC216"/>
  <c r="AD216"/>
  <c r="P217"/>
  <c r="W217"/>
  <c r="Y217"/>
  <c r="AB217"/>
  <c r="AC217"/>
  <c r="AD217"/>
  <c r="P218"/>
  <c r="T218"/>
  <c r="U218"/>
  <c r="V218"/>
  <c r="W218"/>
  <c r="Y218"/>
  <c r="AB218"/>
  <c r="AC218"/>
  <c r="AD218"/>
  <c r="P219"/>
  <c r="T219"/>
  <c r="U219"/>
  <c r="V219"/>
  <c r="W219"/>
  <c r="Y219"/>
  <c r="AB219"/>
  <c r="AC219"/>
  <c r="AD219"/>
  <c r="P220"/>
  <c r="T220"/>
  <c r="U220"/>
  <c r="V220"/>
  <c r="W220"/>
  <c r="Y220"/>
  <c r="AB220"/>
  <c r="AC220"/>
  <c r="AD220"/>
  <c r="P221"/>
  <c r="T221"/>
  <c r="U221"/>
  <c r="V221"/>
  <c r="W221"/>
  <c r="Y221"/>
  <c r="AB221"/>
  <c r="AC221"/>
  <c r="AD221"/>
  <c r="P222"/>
  <c r="T222"/>
  <c r="U222"/>
  <c r="V222"/>
  <c r="W222"/>
  <c r="Y222"/>
  <c r="AB222"/>
  <c r="AC222"/>
  <c r="AD222"/>
  <c r="P223"/>
  <c r="T223"/>
  <c r="U223"/>
  <c r="V223"/>
  <c r="W223"/>
  <c r="Y223"/>
  <c r="AB223"/>
  <c r="AC223"/>
  <c r="AD223"/>
  <c r="P224"/>
  <c r="T224"/>
  <c r="U224"/>
  <c r="V224"/>
  <c r="W224"/>
  <c r="Y224"/>
  <c r="AB224"/>
  <c r="AC224"/>
  <c r="AD224"/>
  <c r="P225"/>
  <c r="T225"/>
  <c r="U225"/>
  <c r="V225"/>
  <c r="W225"/>
  <c r="Y225"/>
  <c r="AB225"/>
  <c r="AC225"/>
  <c r="AD225"/>
  <c r="P226"/>
  <c r="T226"/>
  <c r="U226"/>
  <c r="V226"/>
  <c r="W226"/>
  <c r="Y226"/>
  <c r="AB226"/>
  <c r="AC226"/>
  <c r="AD226"/>
  <c r="P227"/>
  <c r="T227"/>
  <c r="U227"/>
  <c r="V227"/>
  <c r="W227"/>
  <c r="Y227"/>
  <c r="AB227"/>
  <c r="AC227"/>
  <c r="AD227"/>
  <c r="P228"/>
  <c r="T228"/>
  <c r="U228"/>
  <c r="V228"/>
  <c r="W228"/>
  <c r="Y228"/>
  <c r="AB228"/>
  <c r="AC228"/>
  <c r="AD228"/>
  <c r="P229"/>
  <c r="T229"/>
  <c r="U229"/>
  <c r="V229"/>
  <c r="W229"/>
  <c r="Y229"/>
  <c r="AB229"/>
  <c r="AC229"/>
  <c r="AD229"/>
  <c r="P230"/>
  <c r="T230"/>
  <c r="U230"/>
  <c r="V230"/>
  <c r="W230"/>
  <c r="Y230"/>
  <c r="AB230"/>
  <c r="AC230"/>
  <c r="AD230"/>
  <c r="P231"/>
  <c r="T231"/>
  <c r="U231"/>
  <c r="V231"/>
  <c r="W231"/>
  <c r="Y231"/>
  <c r="AB231"/>
  <c r="AC231"/>
  <c r="AD231"/>
  <c r="P232"/>
  <c r="T232"/>
  <c r="U232"/>
  <c r="V232"/>
  <c r="W232"/>
  <c r="Y232"/>
  <c r="AB232"/>
  <c r="AC232"/>
  <c r="AD232"/>
  <c r="P233"/>
  <c r="W233"/>
  <c r="Y233"/>
  <c r="AB233"/>
  <c r="AC233"/>
  <c r="AD233"/>
  <c r="P234"/>
  <c r="W234"/>
  <c r="Y234"/>
  <c r="AB234"/>
  <c r="AC234"/>
  <c r="AD234"/>
  <c r="P235"/>
  <c r="W235"/>
  <c r="Y235"/>
  <c r="AB235"/>
  <c r="AC235"/>
  <c r="AD235"/>
  <c r="P236"/>
  <c r="W236"/>
  <c r="Y236"/>
  <c r="AB236"/>
  <c r="AC236"/>
  <c r="AD236"/>
  <c r="P237"/>
  <c r="W237"/>
  <c r="Y237"/>
  <c r="AB237"/>
  <c r="AC237"/>
  <c r="AD237"/>
  <c r="P238"/>
  <c r="W238"/>
  <c r="Y238"/>
  <c r="AB238"/>
  <c r="AC238"/>
  <c r="AD238"/>
  <c r="P239"/>
  <c r="W239"/>
  <c r="Y239"/>
  <c r="AB239"/>
  <c r="AC239"/>
  <c r="AD239"/>
  <c r="P240"/>
  <c r="T240"/>
  <c r="U240"/>
  <c r="V240"/>
  <c r="W240"/>
  <c r="Y240"/>
  <c r="AB240"/>
  <c r="AC240"/>
  <c r="AD240"/>
  <c r="P241"/>
  <c r="T241"/>
  <c r="U241"/>
  <c r="V241"/>
  <c r="W241"/>
  <c r="Y241"/>
  <c r="AB241"/>
  <c r="AC241"/>
  <c r="AD241"/>
  <c r="P242"/>
  <c r="W242"/>
  <c r="Y242"/>
  <c r="AB242"/>
  <c r="AC242"/>
  <c r="AD242"/>
  <c r="P243"/>
  <c r="W243"/>
  <c r="Y243"/>
  <c r="AB243"/>
  <c r="AC243"/>
  <c r="AD243"/>
  <c r="P244"/>
  <c r="W244"/>
  <c r="Y244"/>
  <c r="AB244"/>
  <c r="AC244"/>
  <c r="AD244"/>
  <c r="P245"/>
  <c r="W245"/>
  <c r="Y245"/>
  <c r="AB245"/>
  <c r="AC245"/>
  <c r="AD245"/>
  <c r="P246"/>
  <c r="W246"/>
  <c r="Y246"/>
  <c r="AB246"/>
  <c r="AC246"/>
  <c r="AD246"/>
  <c r="P247"/>
  <c r="T247"/>
  <c r="U247"/>
  <c r="V247"/>
  <c r="W247"/>
  <c r="Y247"/>
  <c r="AB247"/>
  <c r="AC247"/>
  <c r="AD247"/>
  <c r="P248"/>
  <c r="T248"/>
  <c r="U248"/>
  <c r="V248"/>
  <c r="W248"/>
  <c r="Y248"/>
  <c r="AB248"/>
  <c r="AC248"/>
  <c r="AD248"/>
  <c r="P249"/>
  <c r="T249"/>
  <c r="U249"/>
  <c r="V249"/>
  <c r="W249"/>
  <c r="Y249"/>
  <c r="AB249"/>
  <c r="AC249"/>
  <c r="AD249"/>
  <c r="P250"/>
  <c r="T250"/>
  <c r="U250"/>
  <c r="V250"/>
  <c r="W250"/>
  <c r="Y250"/>
  <c r="AB250"/>
  <c r="AC250"/>
  <c r="AD250"/>
  <c r="P251"/>
  <c r="W251"/>
  <c r="Y251"/>
  <c r="AB251"/>
  <c r="AC251"/>
  <c r="AD251"/>
  <c r="P252"/>
  <c r="W252"/>
  <c r="Y252"/>
  <c r="AB252"/>
  <c r="AC252"/>
  <c r="AD252"/>
  <c r="P253"/>
  <c r="T253"/>
  <c r="U253"/>
  <c r="V253"/>
  <c r="W253"/>
  <c r="Y253"/>
  <c r="AB253"/>
  <c r="AC253"/>
  <c r="AD253"/>
  <c r="P254"/>
  <c r="T254"/>
  <c r="U254"/>
  <c r="V254"/>
  <c r="W254"/>
  <c r="Y254"/>
  <c r="AB254"/>
  <c r="AC254"/>
  <c r="AD254"/>
  <c r="P255"/>
  <c r="T255"/>
  <c r="U255"/>
  <c r="V255"/>
  <c r="W255"/>
  <c r="Y255"/>
  <c r="AB255"/>
  <c r="AC255"/>
  <c r="P256"/>
  <c r="T256"/>
  <c r="U256"/>
  <c r="V256"/>
  <c r="W256"/>
  <c r="Y256"/>
  <c r="AB256"/>
  <c r="AC256"/>
  <c r="AD256"/>
  <c r="P257"/>
  <c r="T257"/>
  <c r="U257"/>
  <c r="V257"/>
  <c r="W257"/>
  <c r="Y257"/>
  <c r="AB257"/>
  <c r="AC257"/>
  <c r="AD257"/>
  <c r="P258"/>
  <c r="T258"/>
  <c r="U258"/>
  <c r="V258"/>
  <c r="W258"/>
  <c r="Y258"/>
  <c r="AB258"/>
  <c r="AC258"/>
  <c r="AD258"/>
  <c r="P259"/>
  <c r="T259"/>
  <c r="U259"/>
  <c r="V259"/>
  <c r="W259"/>
  <c r="Y259"/>
  <c r="AB259"/>
  <c r="AC259"/>
  <c r="AD259"/>
  <c r="P260"/>
  <c r="W260"/>
  <c r="Y260"/>
  <c r="AB260"/>
  <c r="AC260"/>
  <c r="AD260"/>
  <c r="P261"/>
  <c r="T261"/>
  <c r="U261"/>
  <c r="V261"/>
  <c r="W261"/>
  <c r="Y261"/>
  <c r="AB261"/>
  <c r="AC261"/>
  <c r="AD261"/>
  <c r="P262"/>
  <c r="W262"/>
  <c r="Y262"/>
  <c r="AB262"/>
  <c r="AC262"/>
  <c r="AD262"/>
  <c r="P263"/>
  <c r="W263"/>
  <c r="Y263"/>
  <c r="AB263"/>
  <c r="AC263"/>
  <c r="AD263"/>
  <c r="P264"/>
  <c r="W264"/>
  <c r="Y264"/>
  <c r="AB264"/>
  <c r="AC264"/>
  <c r="AD264"/>
  <c r="P265"/>
  <c r="W265"/>
  <c r="Y265"/>
  <c r="AB265"/>
  <c r="AC265"/>
  <c r="AD265"/>
  <c r="P266"/>
  <c r="W266"/>
  <c r="Y266"/>
  <c r="AB266"/>
  <c r="AC266"/>
  <c r="AD266"/>
  <c r="P267"/>
  <c r="T267"/>
  <c r="U267"/>
  <c r="V267"/>
  <c r="W267"/>
  <c r="Y267"/>
  <c r="AB267"/>
  <c r="AC267"/>
  <c r="AD267"/>
  <c r="P268"/>
  <c r="T268"/>
  <c r="U268"/>
  <c r="V268"/>
  <c r="W268"/>
  <c r="Y268"/>
  <c r="AB268"/>
  <c r="AC268"/>
  <c r="AD268"/>
  <c r="P269"/>
  <c r="W269"/>
  <c r="Y269"/>
  <c r="AB269"/>
  <c r="AC269"/>
  <c r="AD269"/>
  <c r="P270"/>
  <c r="T270"/>
  <c r="U270"/>
  <c r="V270"/>
  <c r="W270"/>
  <c r="Y270"/>
  <c r="AB270"/>
  <c r="AC270"/>
  <c r="AD270"/>
  <c r="P271"/>
  <c r="T271"/>
  <c r="U271"/>
  <c r="V271"/>
  <c r="W271"/>
  <c r="Y271"/>
  <c r="AB271"/>
  <c r="AC271"/>
  <c r="AD271"/>
  <c r="P272"/>
  <c r="T272"/>
  <c r="U272"/>
  <c r="V272"/>
  <c r="W272"/>
  <c r="Y272"/>
  <c r="AB272"/>
  <c r="AC272"/>
  <c r="AD272"/>
  <c r="P273"/>
  <c r="T273"/>
  <c r="U273"/>
  <c r="V273"/>
  <c r="W273"/>
  <c r="Y273"/>
  <c r="AB273"/>
  <c r="AC273"/>
  <c r="AD273"/>
  <c r="P274"/>
  <c r="T274"/>
  <c r="U274"/>
  <c r="V274"/>
  <c r="W274"/>
  <c r="Y274"/>
  <c r="AB274"/>
  <c r="AC274"/>
  <c r="AD274"/>
  <c r="P275"/>
  <c r="T275"/>
  <c r="U275"/>
  <c r="V275"/>
  <c r="W275"/>
  <c r="Y275"/>
  <c r="AB275"/>
  <c r="AC275"/>
  <c r="AD275"/>
  <c r="P276"/>
  <c r="T276"/>
  <c r="U276"/>
  <c r="V276"/>
  <c r="W276"/>
  <c r="Y276"/>
  <c r="AB276"/>
  <c r="AC276"/>
  <c r="AD276"/>
  <c r="P277"/>
  <c r="T277"/>
  <c r="U277"/>
  <c r="V277"/>
  <c r="W277"/>
  <c r="Y277"/>
  <c r="AB277"/>
  <c r="AC277"/>
  <c r="AD277"/>
  <c r="P278"/>
  <c r="W278"/>
  <c r="Y278"/>
  <c r="AB278"/>
  <c r="AC278"/>
  <c r="AD278"/>
  <c r="P279"/>
  <c r="W279"/>
  <c r="Y279"/>
  <c r="AB279"/>
  <c r="AC279"/>
  <c r="AD279"/>
  <c r="P280"/>
  <c r="W280"/>
  <c r="Y280"/>
  <c r="AB280"/>
  <c r="AC280"/>
  <c r="AD280"/>
  <c r="P281"/>
  <c r="T281"/>
  <c r="U281"/>
  <c r="V281"/>
  <c r="W281"/>
  <c r="Y281"/>
  <c r="AB281"/>
  <c r="AC281"/>
  <c r="AD281"/>
  <c r="P282"/>
  <c r="T282"/>
  <c r="U282"/>
  <c r="V282"/>
  <c r="W282"/>
  <c r="Y282"/>
  <c r="AB282"/>
  <c r="AC282"/>
  <c r="AD282"/>
  <c r="P283"/>
  <c r="T283"/>
  <c r="U283"/>
  <c r="V283"/>
  <c r="W283"/>
  <c r="Y283"/>
  <c r="AB283"/>
  <c r="AC283"/>
  <c r="AD283"/>
  <c r="P284"/>
  <c r="T284"/>
  <c r="U284"/>
  <c r="V284"/>
  <c r="W284"/>
  <c r="Y284"/>
  <c r="AB284"/>
  <c r="AC284"/>
  <c r="AD284"/>
  <c r="P285"/>
  <c r="T285"/>
  <c r="U285"/>
  <c r="V285"/>
  <c r="W285"/>
  <c r="Y285"/>
  <c r="AB285"/>
  <c r="AC285"/>
  <c r="AD285"/>
  <c r="P286"/>
  <c r="T286"/>
  <c r="U286"/>
  <c r="V286"/>
  <c r="W286"/>
  <c r="Y286"/>
  <c r="AB286"/>
  <c r="AC286"/>
  <c r="AD286"/>
  <c r="P287"/>
  <c r="T287"/>
  <c r="U287"/>
  <c r="V287"/>
  <c r="W287"/>
  <c r="Y287"/>
  <c r="AB287"/>
  <c r="AC287"/>
  <c r="AD287"/>
  <c r="P288"/>
  <c r="T288"/>
  <c r="U288"/>
  <c r="V288"/>
  <c r="W288"/>
  <c r="Y288"/>
  <c r="AB288"/>
  <c r="AC288"/>
  <c r="AD288"/>
  <c r="P289"/>
  <c r="T289"/>
  <c r="U289"/>
  <c r="V289"/>
  <c r="W289"/>
  <c r="Y289"/>
  <c r="AB289"/>
  <c r="AC289"/>
  <c r="AD289"/>
  <c r="P290"/>
  <c r="T290"/>
  <c r="U290"/>
  <c r="V290"/>
  <c r="W290"/>
  <c r="Y290"/>
  <c r="AB290"/>
  <c r="AC290"/>
  <c r="P291"/>
  <c r="W291"/>
  <c r="Y291"/>
  <c r="AB291"/>
  <c r="AC291"/>
  <c r="AD291"/>
  <c r="P292"/>
  <c r="W292"/>
  <c r="Y292"/>
  <c r="AB292"/>
  <c r="AC292"/>
  <c r="AD292"/>
  <c r="P293"/>
  <c r="W293"/>
  <c r="Y293"/>
  <c r="AB293"/>
  <c r="AC293"/>
  <c r="AD293"/>
  <c r="P294"/>
  <c r="W294"/>
  <c r="Y294"/>
  <c r="AB294"/>
  <c r="AC294"/>
  <c r="AD294"/>
  <c r="P295"/>
  <c r="W295"/>
  <c r="Y295"/>
  <c r="AB295"/>
  <c r="AC295"/>
  <c r="AD295"/>
  <c r="P296"/>
  <c r="W296"/>
  <c r="Y296"/>
  <c r="AB296"/>
  <c r="AC296"/>
  <c r="AD296"/>
  <c r="P297"/>
  <c r="W297"/>
  <c r="Y297"/>
  <c r="AB297"/>
  <c r="AC297"/>
  <c r="AD297"/>
  <c r="P298"/>
  <c r="T298"/>
  <c r="U298"/>
  <c r="V298"/>
  <c r="W298"/>
  <c r="Y298"/>
  <c r="AB298"/>
  <c r="AC298"/>
  <c r="P299"/>
  <c r="T299"/>
  <c r="U299"/>
  <c r="V299"/>
  <c r="W299"/>
  <c r="Y299"/>
  <c r="AB299"/>
  <c r="AC299"/>
  <c r="AD299"/>
  <c r="P300"/>
  <c r="T300"/>
  <c r="U300"/>
  <c r="V300"/>
  <c r="W300"/>
  <c r="Y300"/>
  <c r="AB300"/>
  <c r="AC300"/>
  <c r="AD300"/>
  <c r="P301"/>
  <c r="W301"/>
  <c r="Y301"/>
  <c r="AB301"/>
  <c r="AC301"/>
  <c r="AD301"/>
  <c r="P302"/>
  <c r="W302"/>
  <c r="Y302"/>
  <c r="AB302"/>
  <c r="AC302"/>
  <c r="AD302"/>
  <c r="P303"/>
  <c r="W303"/>
  <c r="Y303"/>
  <c r="AB303"/>
  <c r="AC303"/>
  <c r="AD303"/>
  <c r="P304"/>
  <c r="W304"/>
  <c r="Y304"/>
  <c r="AB304"/>
  <c r="AC304"/>
  <c r="AD304"/>
  <c r="P305"/>
  <c r="W305"/>
  <c r="Y305"/>
  <c r="AB305"/>
  <c r="AC305"/>
  <c r="AD305"/>
  <c r="P306"/>
  <c r="W306"/>
  <c r="Y306"/>
  <c r="AB306"/>
  <c r="AC306"/>
  <c r="AD306"/>
  <c r="P307"/>
  <c r="W307"/>
  <c r="Y307"/>
  <c r="AB307"/>
  <c r="AC307"/>
  <c r="AD307"/>
  <c r="P308"/>
  <c r="W308"/>
  <c r="Y308"/>
  <c r="AB308"/>
  <c r="AC308"/>
  <c r="AD308"/>
  <c r="P309"/>
  <c r="W309"/>
  <c r="Y309"/>
  <c r="AB309"/>
  <c r="AC309"/>
  <c r="AD309"/>
  <c r="P310"/>
  <c r="W310"/>
  <c r="Y310"/>
  <c r="AB310"/>
  <c r="AC310"/>
  <c r="AD310"/>
  <c r="P311"/>
  <c r="T311"/>
  <c r="U311"/>
  <c r="V311"/>
  <c r="W311"/>
  <c r="Y311"/>
  <c r="AB311"/>
  <c r="AC311"/>
  <c r="AD311"/>
  <c r="P312"/>
  <c r="T312"/>
  <c r="U312"/>
  <c r="V312"/>
  <c r="W312"/>
  <c r="Y312"/>
  <c r="AB312"/>
  <c r="AC312"/>
  <c r="AD312"/>
  <c r="P313"/>
  <c r="W313"/>
  <c r="Y313"/>
  <c r="AB313"/>
  <c r="AC313"/>
  <c r="AD313"/>
  <c r="P314"/>
  <c r="W314"/>
  <c r="Y314"/>
  <c r="AB314"/>
  <c r="AC314"/>
  <c r="AD314"/>
  <c r="P315"/>
  <c r="W315"/>
  <c r="Y315"/>
  <c r="AB315"/>
  <c r="AC315"/>
  <c r="AD315"/>
  <c r="P316"/>
  <c r="W316"/>
  <c r="Y316"/>
  <c r="AB316"/>
  <c r="AC316"/>
  <c r="AD316"/>
  <c r="P317"/>
  <c r="W317"/>
  <c r="Y317"/>
  <c r="AB317"/>
  <c r="AC317"/>
  <c r="AD317"/>
  <c r="P318"/>
  <c r="W318"/>
  <c r="Y318"/>
  <c r="AB318"/>
  <c r="AC318"/>
  <c r="AD318"/>
  <c r="P319"/>
  <c r="W319"/>
  <c r="Y319"/>
  <c r="AB319"/>
  <c r="AC319"/>
  <c r="AD319"/>
  <c r="P320"/>
  <c r="W320"/>
  <c r="Y320"/>
  <c r="AB320"/>
  <c r="AC320"/>
  <c r="P321"/>
  <c r="W321"/>
  <c r="Y321"/>
  <c r="AB321"/>
  <c r="AC321"/>
  <c r="P322"/>
  <c r="W322"/>
  <c r="Y322"/>
  <c r="AB322"/>
  <c r="AC322"/>
  <c r="P323"/>
  <c r="W323"/>
  <c r="Y323"/>
  <c r="AB323"/>
  <c r="AC323"/>
  <c r="AD323"/>
  <c r="P324"/>
  <c r="W324"/>
  <c r="Y324"/>
  <c r="AB324"/>
  <c r="AC324"/>
  <c r="AD324"/>
  <c r="P325"/>
  <c r="W325"/>
  <c r="Y325"/>
  <c r="AB325"/>
  <c r="AC325"/>
  <c r="AD325"/>
  <c r="P326"/>
  <c r="W326"/>
  <c r="Y326"/>
  <c r="AB326"/>
  <c r="AC326"/>
  <c r="AD326"/>
  <c r="P327"/>
  <c r="W327"/>
  <c r="Y327"/>
  <c r="AB327"/>
  <c r="AC327"/>
  <c r="AD327"/>
  <c r="P328"/>
  <c r="T328"/>
  <c r="U328"/>
  <c r="V328"/>
  <c r="W328"/>
  <c r="Y328"/>
  <c r="AB328"/>
  <c r="AC328"/>
  <c r="P329"/>
  <c r="W329"/>
  <c r="Y329"/>
  <c r="AB329"/>
  <c r="AC329"/>
  <c r="AD329"/>
  <c r="P330"/>
  <c r="W330"/>
  <c r="Y330"/>
  <c r="AB330"/>
  <c r="AC330"/>
  <c r="P331"/>
  <c r="W331"/>
  <c r="Y331"/>
  <c r="AB331"/>
  <c r="AC331"/>
  <c r="P332"/>
  <c r="W332"/>
  <c r="Y332"/>
  <c r="AB332"/>
  <c r="AC332"/>
  <c r="AD332"/>
  <c r="P333"/>
  <c r="W333"/>
  <c r="Y333"/>
  <c r="AB333"/>
  <c r="AC333"/>
  <c r="AD333"/>
  <c r="P334"/>
  <c r="W334"/>
  <c r="Y334"/>
  <c r="AB334"/>
  <c r="AC334"/>
  <c r="AD334"/>
  <c r="P335"/>
  <c r="W335"/>
  <c r="Y335"/>
  <c r="AB335"/>
  <c r="AC335"/>
  <c r="AD335"/>
  <c r="P336"/>
  <c r="W336"/>
  <c r="Y336"/>
  <c r="AB336"/>
  <c r="AC336"/>
  <c r="AD336"/>
  <c r="P337"/>
  <c r="T337"/>
  <c r="U337"/>
  <c r="V337"/>
  <c r="W337"/>
  <c r="Y337"/>
  <c r="AB337"/>
  <c r="AC337"/>
  <c r="AD337"/>
  <c r="P338"/>
  <c r="W338"/>
  <c r="Y338"/>
  <c r="AB338"/>
  <c r="AC338"/>
  <c r="AD338"/>
  <c r="P339"/>
  <c r="W339"/>
  <c r="Y339"/>
  <c r="AB339"/>
  <c r="AC339"/>
  <c r="AD339"/>
  <c r="P340"/>
  <c r="W340"/>
  <c r="Y340"/>
  <c r="AB340"/>
  <c r="AC340"/>
  <c r="AD340"/>
  <c r="P341"/>
  <c r="W341"/>
  <c r="Y341"/>
  <c r="AB341"/>
  <c r="AC341"/>
  <c r="AD341"/>
  <c r="P342"/>
  <c r="W342"/>
  <c r="Y342"/>
  <c r="AB342"/>
  <c r="AC342"/>
  <c r="AD342"/>
  <c r="P343"/>
  <c r="W343"/>
  <c r="Y343"/>
  <c r="AB343"/>
  <c r="AC343"/>
  <c r="AD343"/>
  <c r="P344"/>
  <c r="T344"/>
  <c r="U344"/>
  <c r="V344"/>
  <c r="W344"/>
  <c r="Y344"/>
  <c r="AB344"/>
  <c r="AC344"/>
  <c r="AD344"/>
  <c r="P345"/>
  <c r="T345"/>
  <c r="U345"/>
  <c r="V345"/>
  <c r="W345"/>
  <c r="Y345"/>
  <c r="AB345"/>
  <c r="AC345"/>
  <c r="AD345"/>
  <c r="P346"/>
  <c r="W346"/>
  <c r="Y346"/>
  <c r="AB346"/>
  <c r="AC346"/>
  <c r="AD346"/>
  <c r="P347"/>
  <c r="W347"/>
  <c r="Y347"/>
  <c r="AB347"/>
  <c r="AC347"/>
  <c r="AD347"/>
  <c r="P348"/>
  <c r="W348"/>
  <c r="Y348"/>
  <c r="AB348"/>
  <c r="AC348"/>
  <c r="AD348"/>
  <c r="P349"/>
  <c r="W349"/>
  <c r="Y349"/>
  <c r="AB349"/>
  <c r="AC349"/>
  <c r="AD349"/>
  <c r="P350"/>
  <c r="W350"/>
  <c r="Y350"/>
  <c r="AB350"/>
  <c r="AC350"/>
  <c r="AD350"/>
  <c r="P351"/>
  <c r="W351"/>
  <c r="Y351"/>
  <c r="AB351"/>
  <c r="AC351"/>
  <c r="AD351"/>
  <c r="P352"/>
  <c r="W352"/>
  <c r="Y352"/>
  <c r="AB352"/>
  <c r="AC352"/>
  <c r="AD352"/>
  <c r="P353"/>
  <c r="W353"/>
  <c r="Y353"/>
  <c r="AB353"/>
  <c r="AC353"/>
  <c r="AD353"/>
  <c r="P354"/>
  <c r="W354"/>
  <c r="Y354"/>
  <c r="AB354"/>
  <c r="AC354"/>
  <c r="AD354"/>
  <c r="P355"/>
  <c r="T355"/>
  <c r="U355"/>
  <c r="V355"/>
  <c r="W355"/>
  <c r="Y355"/>
  <c r="AB355"/>
  <c r="AC355"/>
  <c r="AD355"/>
  <c r="P356"/>
  <c r="T356"/>
  <c r="U356"/>
  <c r="V356"/>
  <c r="W356"/>
  <c r="Y356"/>
  <c r="AB356"/>
  <c r="AC356"/>
  <c r="AD356"/>
  <c r="P357"/>
  <c r="T357"/>
  <c r="U357"/>
  <c r="V357"/>
  <c r="W357"/>
  <c r="Y357"/>
  <c r="AB357"/>
  <c r="AC357"/>
  <c r="AD357"/>
  <c r="P358"/>
  <c r="T358"/>
  <c r="U358"/>
  <c r="V358"/>
  <c r="W358"/>
  <c r="Y358"/>
  <c r="AB358"/>
  <c r="AC358"/>
  <c r="AD358"/>
  <c r="P359"/>
  <c r="T359"/>
  <c r="U359"/>
  <c r="V359"/>
  <c r="W359"/>
  <c r="Y359"/>
  <c r="AB359"/>
  <c r="AC359"/>
  <c r="AD359"/>
  <c r="P360"/>
  <c r="T360"/>
  <c r="U360"/>
  <c r="V360"/>
  <c r="W360"/>
  <c r="Y360"/>
  <c r="AB360"/>
  <c r="AC360"/>
  <c r="AD360"/>
  <c r="P361"/>
  <c r="T361"/>
  <c r="U361"/>
  <c r="V361"/>
  <c r="W361"/>
  <c r="Y361"/>
  <c r="AB361"/>
  <c r="AC361"/>
  <c r="AD361"/>
  <c r="P362"/>
  <c r="T362"/>
  <c r="U362"/>
  <c r="V362"/>
  <c r="W362"/>
  <c r="Y362"/>
  <c r="AB362"/>
  <c r="AC362"/>
  <c r="AD362"/>
  <c r="P363"/>
  <c r="T363"/>
  <c r="U363"/>
  <c r="V363"/>
  <c r="W363"/>
  <c r="Y363"/>
  <c r="AB363"/>
  <c r="AC363"/>
  <c r="AD363"/>
  <c r="P364"/>
  <c r="T364"/>
  <c r="U364"/>
  <c r="V364"/>
  <c r="W364"/>
  <c r="Y364"/>
  <c r="AB364"/>
  <c r="AC364"/>
  <c r="AD364"/>
  <c r="P365"/>
  <c r="T365"/>
  <c r="U365"/>
  <c r="V365"/>
  <c r="W365"/>
  <c r="Y365"/>
  <c r="AB365"/>
  <c r="AC365"/>
  <c r="P366"/>
  <c r="T366"/>
  <c r="U366"/>
  <c r="V366"/>
  <c r="W366"/>
  <c r="Y366"/>
  <c r="AB366"/>
  <c r="AC366"/>
  <c r="AD366"/>
  <c r="P367"/>
  <c r="T367"/>
  <c r="U367"/>
  <c r="V367"/>
  <c r="W367"/>
  <c r="Y367"/>
  <c r="AB367"/>
  <c r="AC367"/>
  <c r="AD367"/>
  <c r="P368"/>
  <c r="T368"/>
  <c r="U368"/>
  <c r="V368"/>
  <c r="W368"/>
  <c r="Y368"/>
  <c r="AB368"/>
  <c r="AC368"/>
  <c r="AD368"/>
  <c r="P369"/>
  <c r="T369"/>
  <c r="U369"/>
  <c r="V369"/>
  <c r="W369"/>
  <c r="Y369"/>
  <c r="AB369"/>
  <c r="AC369"/>
  <c r="AD369"/>
  <c r="P370"/>
  <c r="T370"/>
  <c r="U370"/>
  <c r="V370"/>
  <c r="W370"/>
  <c r="Y370"/>
  <c r="AB370"/>
  <c r="AC370"/>
  <c r="AD370"/>
  <c r="P371"/>
  <c r="W371"/>
  <c r="Y371"/>
  <c r="AB371"/>
  <c r="AC371"/>
  <c r="AD371"/>
  <c r="P372"/>
  <c r="W372"/>
  <c r="Y372"/>
  <c r="AB372"/>
  <c r="AC372"/>
  <c r="AD372"/>
  <c r="P373"/>
  <c r="W373"/>
  <c r="Y373"/>
  <c r="AB373"/>
  <c r="AC373"/>
  <c r="AD373"/>
  <c r="P374"/>
  <c r="W374"/>
  <c r="Y374"/>
  <c r="AB374"/>
  <c r="AC374"/>
  <c r="AD374"/>
  <c r="P375"/>
  <c r="W375"/>
  <c r="Y375"/>
  <c r="AB375"/>
  <c r="AC375"/>
  <c r="AD375"/>
  <c r="P376"/>
  <c r="W376"/>
  <c r="Y376"/>
  <c r="AB376"/>
  <c r="AC376"/>
  <c r="P377"/>
  <c r="W377"/>
  <c r="Y377"/>
  <c r="AB377"/>
  <c r="AC377"/>
  <c r="P378"/>
  <c r="W378"/>
  <c r="Y378"/>
  <c r="AB378"/>
  <c r="AC378"/>
  <c r="AD378"/>
  <c r="P379"/>
  <c r="T379"/>
  <c r="U379"/>
  <c r="V379"/>
  <c r="W379"/>
  <c r="Y379"/>
  <c r="AB379"/>
  <c r="AC379"/>
  <c r="AD379"/>
  <c r="P380"/>
  <c r="T380"/>
  <c r="U380"/>
  <c r="V380"/>
  <c r="W380"/>
  <c r="Y380"/>
  <c r="AB380"/>
  <c r="AC380"/>
  <c r="AD380"/>
  <c r="P381"/>
  <c r="T381"/>
  <c r="U381"/>
  <c r="V381"/>
  <c r="W381"/>
  <c r="Y381"/>
  <c r="AB381"/>
  <c r="AC381"/>
  <c r="AD381"/>
  <c r="P382"/>
  <c r="T382"/>
  <c r="U382"/>
  <c r="V382"/>
  <c r="W382"/>
  <c r="Y382"/>
  <c r="AB382"/>
  <c r="AC382"/>
  <c r="AD382"/>
  <c r="P383"/>
  <c r="W383"/>
  <c r="Y383"/>
  <c r="AB383"/>
  <c r="AC383"/>
  <c r="AD383"/>
  <c r="P384"/>
  <c r="W384"/>
  <c r="Y384"/>
  <c r="AB384"/>
  <c r="AC384"/>
  <c r="AD384"/>
  <c r="P385"/>
  <c r="W385"/>
  <c r="Y385"/>
  <c r="AB385"/>
  <c r="AC385"/>
  <c r="AD385"/>
  <c r="P386"/>
  <c r="W386"/>
  <c r="Y386"/>
  <c r="AB386"/>
  <c r="AC386"/>
  <c r="AD386"/>
  <c r="P387"/>
  <c r="W387"/>
  <c r="Y387"/>
  <c r="AB387"/>
  <c r="AC387"/>
  <c r="AD387"/>
  <c r="P388"/>
  <c r="W388"/>
  <c r="Y388"/>
  <c r="AB388"/>
  <c r="AC388"/>
  <c r="AD388"/>
  <c r="P389"/>
  <c r="W389"/>
  <c r="Y389"/>
  <c r="AB389"/>
  <c r="AC389"/>
  <c r="AD389"/>
  <c r="P390"/>
  <c r="W390"/>
  <c r="Y390"/>
  <c r="AB390"/>
  <c r="AC390"/>
  <c r="AD390"/>
  <c r="P391"/>
  <c r="W391"/>
  <c r="Y391"/>
  <c r="AB391"/>
  <c r="AC391"/>
  <c r="AD391"/>
  <c r="P392"/>
  <c r="W392"/>
  <c r="Y392"/>
  <c r="AB392"/>
  <c r="AC392"/>
  <c r="AD392"/>
  <c r="P393"/>
  <c r="W393"/>
  <c r="Y393"/>
  <c r="AB393"/>
  <c r="AC393"/>
  <c r="AD393"/>
  <c r="P394"/>
  <c r="W394"/>
  <c r="Y394"/>
  <c r="AB394"/>
  <c r="AC394"/>
  <c r="AD394"/>
  <c r="P395"/>
  <c r="W395"/>
  <c r="Y395"/>
  <c r="AB395"/>
  <c r="AC395"/>
  <c r="AD395"/>
  <c r="P396"/>
  <c r="W396"/>
  <c r="Y396"/>
  <c r="AB396"/>
  <c r="AC396"/>
  <c r="AD396"/>
  <c r="P397"/>
  <c r="W397"/>
  <c r="Y397"/>
  <c r="AB397"/>
  <c r="AC397"/>
  <c r="AD397"/>
  <c r="P398"/>
  <c r="T398"/>
  <c r="U398"/>
  <c r="V398"/>
  <c r="W398"/>
  <c r="Y398"/>
  <c r="AB398"/>
  <c r="AC398"/>
  <c r="AD398"/>
  <c r="P399"/>
  <c r="T399"/>
  <c r="U399"/>
  <c r="V399"/>
  <c r="W399"/>
  <c r="Y399"/>
  <c r="AB399"/>
  <c r="AC399"/>
  <c r="AD399"/>
  <c r="P400"/>
  <c r="W400"/>
  <c r="Y400"/>
  <c r="AB400"/>
  <c r="AC400"/>
  <c r="AD400"/>
  <c r="P401"/>
  <c r="W401"/>
  <c r="Y401"/>
  <c r="AB401"/>
  <c r="AC401"/>
  <c r="AD401"/>
  <c r="P402"/>
  <c r="W402"/>
  <c r="Y402"/>
  <c r="AB402"/>
  <c r="AC402"/>
  <c r="AD402"/>
  <c r="P403"/>
  <c r="W403"/>
  <c r="Y403"/>
  <c r="AB403"/>
  <c r="AC403"/>
  <c r="P404"/>
  <c r="W404"/>
  <c r="Y404"/>
  <c r="AB404"/>
  <c r="AC404"/>
  <c r="P405"/>
  <c r="W405"/>
  <c r="Y405"/>
  <c r="AB405"/>
  <c r="AC405"/>
  <c r="P406"/>
  <c r="W406"/>
  <c r="Y406"/>
  <c r="AB406"/>
  <c r="AC406"/>
  <c r="P407"/>
  <c r="T407"/>
  <c r="U407"/>
  <c r="V407"/>
  <c r="W407"/>
  <c r="Y407"/>
  <c r="AB407"/>
  <c r="AC407"/>
  <c r="P408"/>
  <c r="T408"/>
  <c r="U408"/>
  <c r="V408"/>
  <c r="W408"/>
  <c r="Y408"/>
  <c r="AB408"/>
  <c r="AC408"/>
  <c r="P409"/>
  <c r="T409"/>
  <c r="U409"/>
  <c r="V409"/>
  <c r="W409"/>
  <c r="Y409"/>
  <c r="AB409"/>
  <c r="AC409"/>
  <c r="AD409"/>
  <c r="P410"/>
  <c r="T410"/>
  <c r="U410"/>
  <c r="V410"/>
  <c r="W410"/>
  <c r="Y410"/>
  <c r="AB410"/>
  <c r="AC410"/>
  <c r="AD410"/>
  <c r="P411"/>
  <c r="W411"/>
  <c r="Y411"/>
  <c r="AB411"/>
  <c r="AC411"/>
  <c r="AD411"/>
  <c r="P412"/>
  <c r="W412"/>
  <c r="Y412"/>
  <c r="AB412"/>
  <c r="AC412"/>
  <c r="AD412"/>
  <c r="P413"/>
  <c r="W413"/>
  <c r="Y413"/>
  <c r="AB413"/>
  <c r="AC413"/>
  <c r="AD413"/>
  <c r="P414"/>
  <c r="W414"/>
  <c r="Y414"/>
  <c r="AB414"/>
  <c r="AC414"/>
  <c r="AD414"/>
  <c r="P415"/>
  <c r="W415"/>
  <c r="Y415"/>
  <c r="AB415"/>
  <c r="AC415"/>
  <c r="AD415"/>
  <c r="P416"/>
  <c r="W416"/>
  <c r="Y416"/>
  <c r="AB416"/>
  <c r="AC416"/>
  <c r="AD416"/>
  <c r="P417"/>
  <c r="W417"/>
  <c r="Y417"/>
  <c r="AB417"/>
  <c r="AC417"/>
  <c r="AD417"/>
  <c r="P418"/>
  <c r="W418"/>
  <c r="Y418"/>
  <c r="AB418"/>
  <c r="AC418"/>
  <c r="AD418"/>
  <c r="P419"/>
  <c r="T419"/>
  <c r="U419"/>
  <c r="V419"/>
  <c r="W419"/>
  <c r="Y419"/>
  <c r="AB419"/>
  <c r="AC419"/>
  <c r="P420"/>
  <c r="T420"/>
  <c r="U420"/>
  <c r="V420"/>
  <c r="W420"/>
  <c r="Y420"/>
  <c r="AB420"/>
  <c r="AC420"/>
  <c r="AD420"/>
  <c r="P421"/>
  <c r="T421"/>
  <c r="U421"/>
  <c r="V421"/>
  <c r="W421"/>
  <c r="Y421"/>
  <c r="AB421"/>
  <c r="AC421"/>
  <c r="AD421"/>
  <c r="P422"/>
  <c r="T422"/>
  <c r="U422"/>
  <c r="V422"/>
  <c r="W422"/>
  <c r="Y422"/>
  <c r="AB422"/>
  <c r="AC422"/>
  <c r="AD422"/>
  <c r="P423"/>
  <c r="T423"/>
  <c r="U423"/>
  <c r="V423"/>
  <c r="W423"/>
  <c r="Y423"/>
  <c r="AB423"/>
  <c r="AC423"/>
  <c r="AD423"/>
  <c r="P424"/>
  <c r="W424"/>
  <c r="Y424"/>
  <c r="AB424"/>
  <c r="AC424"/>
  <c r="AD424"/>
  <c r="P425"/>
  <c r="W425"/>
  <c r="Y425"/>
  <c r="AB425"/>
  <c r="AC425"/>
  <c r="P426"/>
  <c r="W426"/>
  <c r="Y426"/>
  <c r="AB426"/>
  <c r="AC426"/>
  <c r="P427"/>
  <c r="W427"/>
  <c r="Y427"/>
  <c r="AB427"/>
  <c r="AC427"/>
  <c r="P428"/>
  <c r="W428"/>
  <c r="Y428"/>
  <c r="AB428"/>
  <c r="AC428"/>
  <c r="P429"/>
  <c r="T429"/>
  <c r="U429"/>
  <c r="V429"/>
  <c r="W429"/>
  <c r="Y429"/>
  <c r="AB429"/>
  <c r="AC429"/>
  <c r="P430"/>
  <c r="W430"/>
  <c r="Y430"/>
  <c r="AB430"/>
  <c r="AC430"/>
  <c r="AD430"/>
  <c r="P431"/>
  <c r="W431"/>
  <c r="Y431"/>
  <c r="AB431"/>
  <c r="AC431"/>
  <c r="AD431"/>
  <c r="P432"/>
  <c r="W432"/>
  <c r="Y432"/>
  <c r="AB432"/>
  <c r="AC432"/>
  <c r="AD432"/>
  <c r="P433"/>
  <c r="W433"/>
  <c r="Y433"/>
  <c r="AB433"/>
  <c r="AC433"/>
  <c r="AD433"/>
  <c r="P434"/>
  <c r="W434"/>
  <c r="Y434"/>
  <c r="AB434"/>
  <c r="AC434"/>
  <c r="AD434"/>
  <c r="P435"/>
  <c r="W435"/>
  <c r="Y435"/>
  <c r="AB435"/>
  <c r="AC435"/>
  <c r="AD435"/>
  <c r="P436"/>
  <c r="W436"/>
  <c r="Y436"/>
  <c r="AB436"/>
  <c r="AC436"/>
  <c r="AD436"/>
  <c r="P437"/>
  <c r="W437"/>
  <c r="Y437"/>
  <c r="AB437"/>
  <c r="AC437"/>
  <c r="AD437"/>
  <c r="P438"/>
  <c r="T438"/>
  <c r="U438"/>
  <c r="V438"/>
  <c r="W438"/>
  <c r="Y438"/>
  <c r="AB438"/>
  <c r="AC438"/>
  <c r="AD438"/>
  <c r="P439"/>
  <c r="T439"/>
  <c r="U439"/>
  <c r="V439"/>
  <c r="W439"/>
  <c r="Y439"/>
  <c r="AB439"/>
  <c r="AC439"/>
  <c r="AD439"/>
  <c r="P440"/>
  <c r="W440"/>
  <c r="Y440"/>
  <c r="AB440"/>
  <c r="AC440"/>
  <c r="AD440"/>
  <c r="P441"/>
  <c r="W441"/>
  <c r="Y441"/>
  <c r="AB441"/>
  <c r="AC441"/>
  <c r="AD441"/>
  <c r="P442"/>
  <c r="W442"/>
  <c r="Y442"/>
  <c r="AB442"/>
  <c r="AC442"/>
  <c r="AD442"/>
  <c r="P443"/>
  <c r="W443"/>
  <c r="Y443"/>
  <c r="AB443"/>
  <c r="AC443"/>
  <c r="P444"/>
  <c r="W444"/>
  <c r="Y444"/>
  <c r="AB444"/>
  <c r="AC444"/>
  <c r="P445"/>
  <c r="W445"/>
  <c r="Y445"/>
  <c r="AB445"/>
  <c r="AC445"/>
  <c r="P446"/>
  <c r="T446"/>
  <c r="U446"/>
  <c r="V446"/>
  <c r="W446"/>
  <c r="Y446"/>
  <c r="AB446"/>
  <c r="AC446"/>
  <c r="P447"/>
  <c r="W447"/>
  <c r="Y447"/>
  <c r="AB447"/>
  <c r="AC447"/>
  <c r="AD447"/>
  <c r="P448"/>
  <c r="T448"/>
  <c r="U448"/>
  <c r="V448"/>
  <c r="W448"/>
  <c r="Y448"/>
  <c r="AB448"/>
  <c r="AC448"/>
  <c r="AD448"/>
  <c r="P449"/>
  <c r="T449"/>
  <c r="U449"/>
  <c r="V449"/>
  <c r="W449"/>
  <c r="Y449"/>
  <c r="AB449"/>
  <c r="AC449"/>
  <c r="AD449"/>
  <c r="P450"/>
  <c r="W450"/>
  <c r="Y450"/>
  <c r="AB450"/>
  <c r="AC450"/>
  <c r="AD450"/>
  <c r="P451"/>
  <c r="W451"/>
  <c r="Y451"/>
  <c r="AB451"/>
  <c r="AC451"/>
  <c r="AD451"/>
  <c r="P452"/>
  <c r="W452"/>
  <c r="Y452"/>
  <c r="AB452"/>
  <c r="AC452"/>
  <c r="AD452"/>
  <c r="P453"/>
  <c r="W453"/>
  <c r="Y453"/>
  <c r="AB453"/>
  <c r="AC453"/>
  <c r="AD453"/>
  <c r="P454"/>
  <c r="W454"/>
  <c r="Y454"/>
  <c r="AB454"/>
  <c r="AC454"/>
  <c r="AD454"/>
  <c r="P455"/>
  <c r="W455"/>
  <c r="Y455"/>
  <c r="AB455"/>
  <c r="AC455"/>
  <c r="AD455"/>
  <c r="P456"/>
  <c r="T456"/>
  <c r="U456"/>
  <c r="V456"/>
  <c r="W456"/>
  <c r="Y456"/>
  <c r="AB456"/>
  <c r="AC456"/>
  <c r="AD456"/>
  <c r="P457"/>
  <c r="W457"/>
  <c r="Y457"/>
  <c r="AB457"/>
  <c r="AC457"/>
  <c r="AD457"/>
  <c r="P458"/>
  <c r="T458"/>
  <c r="U458"/>
  <c r="V458"/>
  <c r="W458"/>
  <c r="Y458"/>
  <c r="AB458"/>
  <c r="AC458"/>
  <c r="AD458"/>
  <c r="P459"/>
  <c r="T459"/>
  <c r="U459"/>
  <c r="V459"/>
  <c r="W459"/>
  <c r="Y459"/>
  <c r="AB459"/>
  <c r="AC459"/>
  <c r="AD459"/>
  <c r="P460"/>
  <c r="W460"/>
  <c r="Y460"/>
  <c r="AB460"/>
  <c r="AC460"/>
  <c r="AD460"/>
  <c r="P461"/>
  <c r="W461"/>
  <c r="Y461"/>
  <c r="AB461"/>
  <c r="AC461"/>
  <c r="AD461"/>
  <c r="P462"/>
  <c r="W462"/>
  <c r="Y462"/>
  <c r="AB462"/>
  <c r="AC462"/>
  <c r="AD462"/>
  <c r="P463"/>
  <c r="W463"/>
  <c r="Y463"/>
  <c r="AB463"/>
  <c r="AC463"/>
  <c r="AD463"/>
  <c r="P464"/>
  <c r="W464"/>
  <c r="Y464"/>
  <c r="AB464"/>
  <c r="AC464"/>
  <c r="AD464"/>
  <c r="P465"/>
  <c r="W465"/>
  <c r="Y465"/>
  <c r="AB465"/>
  <c r="AC465"/>
  <c r="AD465"/>
  <c r="P466"/>
  <c r="W466"/>
  <c r="Y466"/>
  <c r="AB466"/>
  <c r="AC466"/>
  <c r="AD466"/>
  <c r="P467"/>
  <c r="T467"/>
  <c r="U467"/>
  <c r="V467"/>
  <c r="W467"/>
  <c r="Y467"/>
  <c r="AB467"/>
  <c r="AC467"/>
  <c r="AD467"/>
  <c r="P468"/>
  <c r="T468"/>
  <c r="U468"/>
  <c r="V468"/>
  <c r="W468"/>
  <c r="Y468"/>
  <c r="AB468"/>
  <c r="AC468"/>
  <c r="AD468"/>
  <c r="P469"/>
  <c r="W469"/>
  <c r="Y469"/>
  <c r="AB469"/>
  <c r="AC469"/>
  <c r="AD469"/>
  <c r="P470"/>
  <c r="T470"/>
  <c r="U470"/>
  <c r="V470"/>
  <c r="W470"/>
  <c r="Y470"/>
  <c r="AB470"/>
  <c r="AC470"/>
  <c r="AD470"/>
  <c r="P471"/>
  <c r="T471"/>
  <c r="U471"/>
  <c r="V471"/>
  <c r="W471"/>
  <c r="Y471"/>
  <c r="AB471"/>
  <c r="AC471"/>
  <c r="AD471"/>
  <c r="P472"/>
  <c r="T472"/>
  <c r="U472"/>
  <c r="V472"/>
  <c r="W472"/>
  <c r="Y472"/>
  <c r="AB472"/>
  <c r="AC472"/>
  <c r="AD472"/>
  <c r="P473"/>
  <c r="T473"/>
  <c r="U473"/>
  <c r="V473"/>
  <c r="W473"/>
  <c r="Y473"/>
  <c r="AB473"/>
  <c r="AC473"/>
  <c r="AD473"/>
  <c r="P474"/>
  <c r="T474"/>
  <c r="U474"/>
  <c r="V474"/>
  <c r="W474"/>
  <c r="Y474"/>
  <c r="AB474"/>
  <c r="AC474"/>
  <c r="AD474"/>
  <c r="P475"/>
  <c r="T475"/>
  <c r="U475"/>
  <c r="V475"/>
  <c r="W475"/>
  <c r="Y475"/>
  <c r="AB475"/>
  <c r="AC475"/>
  <c r="AD475"/>
  <c r="P476"/>
  <c r="T476"/>
  <c r="U476"/>
  <c r="V476"/>
  <c r="W476"/>
  <c r="Y476"/>
  <c r="AB476"/>
  <c r="AC476"/>
  <c r="AD476"/>
  <c r="P477"/>
  <c r="T477"/>
  <c r="U477"/>
  <c r="V477"/>
  <c r="W477"/>
  <c r="Y477"/>
  <c r="AB477"/>
  <c r="AC477"/>
  <c r="AD477"/>
  <c r="P478"/>
  <c r="T478"/>
  <c r="U478"/>
  <c r="V478"/>
  <c r="W478"/>
  <c r="Y478"/>
  <c r="AB478"/>
  <c r="AC478"/>
  <c r="AD478"/>
  <c r="P479"/>
  <c r="T479"/>
  <c r="U479"/>
  <c r="V479"/>
  <c r="W479"/>
  <c r="Y479"/>
  <c r="AB479"/>
  <c r="AC479"/>
  <c r="AD479"/>
  <c r="P480"/>
  <c r="T480"/>
  <c r="U480"/>
  <c r="V480"/>
  <c r="W480"/>
  <c r="Y480"/>
  <c r="AB480"/>
  <c r="AC480"/>
  <c r="AD480"/>
  <c r="P481"/>
  <c r="T481"/>
  <c r="U481"/>
  <c r="V481"/>
  <c r="W481"/>
  <c r="Y481"/>
  <c r="AB481"/>
  <c r="AC481"/>
  <c r="AD481"/>
  <c r="P482"/>
  <c r="T482"/>
  <c r="U482"/>
  <c r="V482"/>
  <c r="W482"/>
  <c r="Y482"/>
  <c r="AB482"/>
  <c r="AC482"/>
  <c r="AD482"/>
  <c r="P483"/>
  <c r="T483"/>
  <c r="U483"/>
  <c r="V483"/>
  <c r="W483"/>
  <c r="Y483"/>
  <c r="AB483"/>
  <c r="AC483"/>
  <c r="AD483"/>
  <c r="P484"/>
  <c r="T484"/>
  <c r="U484"/>
  <c r="V484"/>
  <c r="W484"/>
  <c r="Y484"/>
  <c r="AB484"/>
  <c r="AC484"/>
  <c r="AD484"/>
  <c r="P485"/>
  <c r="T485"/>
  <c r="U485"/>
  <c r="V485"/>
  <c r="W485"/>
  <c r="Y485"/>
  <c r="AB485"/>
  <c r="AC485"/>
  <c r="AD485"/>
  <c r="P490"/>
  <c r="T490"/>
  <c r="U490"/>
  <c r="V490"/>
  <c r="W490"/>
  <c r="Y490"/>
  <c r="AB490"/>
  <c r="AC490"/>
  <c r="AD490"/>
  <c r="P491"/>
  <c r="T491"/>
  <c r="U491"/>
  <c r="V491"/>
  <c r="W491"/>
  <c r="Y491"/>
  <c r="AB491"/>
  <c r="AC491"/>
  <c r="AD491"/>
  <c r="P494"/>
  <c r="W494"/>
  <c r="Y494"/>
  <c r="AB494"/>
  <c r="AC494"/>
  <c r="AD494"/>
  <c r="P495"/>
  <c r="T495"/>
  <c r="U495"/>
  <c r="V495"/>
  <c r="W495"/>
  <c r="Y495"/>
  <c r="AB495"/>
  <c r="AC495"/>
  <c r="AD495"/>
  <c r="P496"/>
  <c r="T496"/>
  <c r="U496"/>
  <c r="V496"/>
  <c r="W496"/>
  <c r="Y496"/>
  <c r="AB496"/>
  <c r="AC496"/>
  <c r="AD496"/>
  <c r="P497"/>
  <c r="T497"/>
  <c r="U497"/>
  <c r="V497"/>
  <c r="W497"/>
  <c r="Y497"/>
  <c r="AB497"/>
  <c r="AC497"/>
  <c r="AD497"/>
  <c r="P498"/>
  <c r="T498"/>
  <c r="U498"/>
  <c r="V498"/>
  <c r="W498"/>
  <c r="Y498"/>
  <c r="AB498"/>
  <c r="AC498"/>
  <c r="AD498"/>
  <c r="P499"/>
  <c r="W499"/>
  <c r="Y499"/>
  <c r="AB499"/>
  <c r="AC499"/>
  <c r="AD499"/>
  <c r="P500"/>
  <c r="W500"/>
  <c r="Y500"/>
  <c r="AB500"/>
  <c r="AC500"/>
  <c r="AD500"/>
  <c r="P501"/>
  <c r="W501"/>
  <c r="Y501"/>
  <c r="AB501"/>
  <c r="AC501"/>
  <c r="AD501"/>
  <c r="P502"/>
  <c r="T502"/>
  <c r="U502"/>
  <c r="V502"/>
  <c r="W502"/>
  <c r="Y502"/>
  <c r="AB502"/>
  <c r="AC502"/>
  <c r="AD502"/>
  <c r="P503"/>
  <c r="T503"/>
  <c r="U503"/>
  <c r="V503"/>
  <c r="W503"/>
  <c r="Y503"/>
  <c r="AB503"/>
  <c r="AC503"/>
  <c r="AD503"/>
  <c r="P504"/>
  <c r="T504"/>
  <c r="U504"/>
  <c r="V504"/>
  <c r="W504"/>
  <c r="Y504"/>
  <c r="AB504"/>
  <c r="AC504"/>
  <c r="AD504"/>
  <c r="P505"/>
  <c r="T505"/>
  <c r="U505"/>
  <c r="V505"/>
  <c r="W505"/>
  <c r="Y505"/>
  <c r="AB505"/>
  <c r="AC505"/>
  <c r="AD505"/>
  <c r="P506"/>
  <c r="T506"/>
  <c r="U506"/>
  <c r="V506"/>
  <c r="W506"/>
  <c r="Y506"/>
  <c r="AB506"/>
  <c r="AC506"/>
  <c r="AD506"/>
  <c r="P507"/>
  <c r="T507"/>
  <c r="U507"/>
  <c r="V507"/>
  <c r="W507"/>
  <c r="Y507"/>
  <c r="AB507"/>
  <c r="AC507"/>
  <c r="AD507"/>
  <c r="P510"/>
  <c r="T510"/>
  <c r="U510"/>
  <c r="V510"/>
  <c r="W510"/>
  <c r="Y510"/>
  <c r="AB510"/>
  <c r="AC510"/>
  <c r="AD510"/>
  <c r="P511"/>
  <c r="T511"/>
  <c r="U511"/>
  <c r="V511"/>
  <c r="W511"/>
  <c r="Y511"/>
  <c r="AB511"/>
  <c r="AC511"/>
  <c r="AD511"/>
  <c r="P512"/>
  <c r="T512"/>
  <c r="U512"/>
  <c r="V512"/>
  <c r="W512"/>
  <c r="Y512"/>
  <c r="AB512"/>
  <c r="AC512"/>
  <c r="AD512"/>
  <c r="P513"/>
  <c r="T513"/>
  <c r="U513"/>
  <c r="V513"/>
  <c r="W513"/>
  <c r="Y513"/>
  <c r="AB513"/>
  <c r="AC513"/>
  <c r="AD513"/>
  <c r="P514"/>
  <c r="T514"/>
  <c r="U514"/>
  <c r="V514"/>
  <c r="W514"/>
  <c r="Y514"/>
  <c r="AB514"/>
  <c r="AC514"/>
  <c r="AD514"/>
  <c r="P515"/>
  <c r="T515"/>
  <c r="U515"/>
  <c r="V515"/>
  <c r="W515"/>
  <c r="Y515"/>
  <c r="AB515"/>
  <c r="AC515"/>
  <c r="AD515"/>
  <c r="P516"/>
  <c r="T516"/>
  <c r="U516"/>
  <c r="V516"/>
  <c r="W516"/>
  <c r="Y516"/>
  <c r="AB516"/>
  <c r="AC516"/>
  <c r="AD516"/>
  <c r="P517"/>
  <c r="T517"/>
  <c r="U517"/>
  <c r="V517"/>
  <c r="W517"/>
  <c r="Y517"/>
  <c r="AB517"/>
  <c r="AC517"/>
  <c r="AD517"/>
  <c r="P518"/>
  <c r="W518"/>
  <c r="Y518"/>
  <c r="AB518"/>
  <c r="AC518"/>
  <c r="AD518"/>
  <c r="P519"/>
  <c r="W519"/>
  <c r="Y519"/>
  <c r="AB519"/>
  <c r="AC519"/>
  <c r="AD519"/>
  <c r="P520"/>
  <c r="W520"/>
  <c r="Y520"/>
  <c r="AB520"/>
  <c r="AC520"/>
  <c r="AD520"/>
  <c r="P521"/>
  <c r="W521"/>
  <c r="Y521"/>
  <c r="AB521"/>
  <c r="AC521"/>
  <c r="AD521"/>
  <c r="P522"/>
  <c r="W522"/>
  <c r="Y522"/>
  <c r="AB522"/>
  <c r="AC522"/>
  <c r="AD522"/>
  <c r="P523"/>
  <c r="W523"/>
  <c r="Y523"/>
  <c r="AB523"/>
  <c r="AC523"/>
  <c r="AD523"/>
  <c r="P524"/>
  <c r="W524"/>
  <c r="Y524"/>
  <c r="AB524"/>
  <c r="AC524"/>
  <c r="AD524"/>
  <c r="P525"/>
  <c r="W525"/>
  <c r="Y525"/>
  <c r="AB525"/>
  <c r="AC525"/>
  <c r="AD525"/>
  <c r="P526"/>
  <c r="W526"/>
  <c r="Y526"/>
  <c r="AB526"/>
  <c r="AC526"/>
  <c r="AD526"/>
  <c r="P527"/>
  <c r="W527"/>
  <c r="Y527"/>
  <c r="AB527"/>
  <c r="AC527"/>
  <c r="AD527"/>
  <c r="P528"/>
  <c r="W528"/>
  <c r="Y528"/>
  <c r="AB528"/>
  <c r="AC528"/>
  <c r="AD528"/>
  <c r="P529"/>
  <c r="W529"/>
  <c r="Y529"/>
  <c r="AB529"/>
  <c r="AC529"/>
  <c r="AD529"/>
  <c r="P530"/>
  <c r="W530"/>
  <c r="Y530"/>
  <c r="AB530"/>
  <c r="AC530"/>
  <c r="AD530"/>
  <c r="P531"/>
  <c r="W531"/>
  <c r="Y531"/>
  <c r="AB531"/>
  <c r="AC531"/>
  <c r="AD531"/>
  <c r="P532"/>
  <c r="W532"/>
  <c r="Y532"/>
  <c r="AB532"/>
  <c r="AC532"/>
  <c r="AD532"/>
  <c r="P533"/>
  <c r="T533"/>
  <c r="U533"/>
  <c r="V533"/>
  <c r="W533"/>
  <c r="Y533"/>
  <c r="AB533"/>
  <c r="AC533"/>
  <c r="AD533"/>
  <c r="P534"/>
  <c r="T534"/>
  <c r="U534"/>
  <c r="V534"/>
  <c r="W534"/>
  <c r="Y534"/>
  <c r="AB534"/>
  <c r="AC534"/>
  <c r="AD534"/>
  <c r="P535"/>
  <c r="W535"/>
  <c r="Y535"/>
  <c r="AB535"/>
  <c r="AC535"/>
  <c r="AD535"/>
  <c r="P536"/>
  <c r="W536"/>
  <c r="Y536"/>
  <c r="AB536"/>
  <c r="AC536"/>
  <c r="AD536"/>
  <c r="P537"/>
  <c r="W537"/>
  <c r="Y537"/>
  <c r="AB537"/>
  <c r="AC537"/>
  <c r="AD537"/>
  <c r="P538"/>
  <c r="W538"/>
  <c r="Y538"/>
  <c r="AB538"/>
  <c r="AC538"/>
  <c r="AD538"/>
  <c r="P539"/>
  <c r="W539"/>
  <c r="Y539"/>
  <c r="AB539"/>
  <c r="AC539"/>
  <c r="AD539"/>
  <c r="P540"/>
  <c r="W540"/>
  <c r="Y540"/>
  <c r="AB540"/>
  <c r="AC540"/>
  <c r="AD540"/>
  <c r="P541"/>
  <c r="W541"/>
  <c r="Y541"/>
  <c r="AB541"/>
  <c r="AC541"/>
  <c r="AD541"/>
  <c r="P542"/>
  <c r="W542"/>
  <c r="Y542"/>
  <c r="AB542"/>
  <c r="AC542"/>
  <c r="AD542"/>
  <c r="P543"/>
  <c r="W543"/>
  <c r="Y543"/>
  <c r="AB543"/>
  <c r="AC543"/>
  <c r="AD543"/>
  <c r="P544"/>
  <c r="W544"/>
  <c r="Y544"/>
  <c r="AB544"/>
  <c r="AC544"/>
  <c r="AD544"/>
  <c r="P545"/>
  <c r="W545"/>
  <c r="Y545"/>
  <c r="AB545"/>
  <c r="AC545"/>
  <c r="AD545"/>
  <c r="P546"/>
  <c r="T546"/>
  <c r="U546"/>
  <c r="V546"/>
  <c r="W546"/>
  <c r="Y546"/>
  <c r="AB546"/>
  <c r="AC546"/>
  <c r="AD546"/>
  <c r="P547"/>
  <c r="W547"/>
  <c r="Y547"/>
  <c r="AB547"/>
  <c r="AC547"/>
  <c r="AD547"/>
  <c r="P548"/>
  <c r="T548"/>
  <c r="U548"/>
  <c r="V548"/>
  <c r="W548"/>
  <c r="Y548"/>
  <c r="AB548"/>
  <c r="AC548"/>
  <c r="AD548"/>
  <c r="P549"/>
  <c r="T549"/>
  <c r="U549"/>
  <c r="V549"/>
  <c r="W549"/>
  <c r="Y549"/>
  <c r="AB549"/>
  <c r="AC549"/>
  <c r="AD549"/>
  <c r="P550"/>
  <c r="T550"/>
  <c r="U550"/>
  <c r="V550"/>
  <c r="W550"/>
  <c r="Y550"/>
  <c r="AB550"/>
  <c r="AC550"/>
  <c r="AD550"/>
  <c r="P551"/>
  <c r="T551"/>
  <c r="U551"/>
  <c r="V551"/>
  <c r="W551"/>
  <c r="Y551"/>
  <c r="AB551"/>
  <c r="AC551"/>
  <c r="AD551"/>
  <c r="P552"/>
  <c r="T552"/>
  <c r="U552"/>
  <c r="V552"/>
  <c r="W552"/>
  <c r="Y552"/>
  <c r="AB552"/>
  <c r="AC552"/>
  <c r="AD552"/>
  <c r="P553"/>
  <c r="T553"/>
  <c r="U553"/>
  <c r="V553"/>
  <c r="W553"/>
  <c r="Y553"/>
  <c r="AB553"/>
  <c r="AC553"/>
  <c r="AD553"/>
  <c r="P554"/>
  <c r="T554"/>
  <c r="U554"/>
  <c r="V554"/>
  <c r="W554"/>
  <c r="Y554"/>
  <c r="AB554"/>
  <c r="AC554"/>
  <c r="AD554"/>
  <c r="P555"/>
  <c r="T555"/>
  <c r="U555"/>
  <c r="V555"/>
  <c r="W555"/>
  <c r="Y555"/>
  <c r="AB555"/>
  <c r="AC555"/>
  <c r="AD555"/>
  <c r="P556"/>
  <c r="T556"/>
  <c r="U556"/>
  <c r="V556"/>
  <c r="W556"/>
  <c r="Y556"/>
  <c r="AB556"/>
  <c r="AC556"/>
  <c r="AD556"/>
  <c r="P557"/>
  <c r="T557"/>
  <c r="U557"/>
  <c r="V557"/>
  <c r="W557"/>
  <c r="Y557"/>
  <c r="AB557"/>
  <c r="AC557"/>
  <c r="AD557"/>
  <c r="P558"/>
  <c r="T558"/>
  <c r="U558"/>
  <c r="V558"/>
  <c r="W558"/>
  <c r="Y558"/>
  <c r="AB558"/>
  <c r="AC558"/>
  <c r="AD558"/>
  <c r="P559"/>
  <c r="T559"/>
  <c r="U559"/>
  <c r="V559"/>
  <c r="W559"/>
  <c r="Y559"/>
  <c r="AB559"/>
  <c r="AC559"/>
  <c r="AD559"/>
  <c r="P566"/>
  <c r="W566"/>
  <c r="Y566"/>
  <c r="AB566"/>
  <c r="AC566"/>
  <c r="AD566"/>
  <c r="P567"/>
  <c r="W567"/>
  <c r="Y567"/>
  <c r="AB567"/>
  <c r="AC567"/>
  <c r="AD567"/>
  <c r="P568"/>
  <c r="T568"/>
  <c r="U568"/>
  <c r="V568"/>
  <c r="W568"/>
  <c r="Y568"/>
  <c r="AB568"/>
  <c r="AC568"/>
  <c r="P569"/>
  <c r="W569"/>
  <c r="Y569"/>
  <c r="AB569"/>
  <c r="AC569"/>
  <c r="AD569"/>
  <c r="P570"/>
  <c r="W570"/>
  <c r="Y570"/>
  <c r="AB570"/>
  <c r="AC570"/>
  <c r="AD570"/>
  <c r="P571"/>
  <c r="W571"/>
  <c r="Y571"/>
  <c r="AB571"/>
  <c r="AC571"/>
  <c r="AD571"/>
  <c r="P572"/>
  <c r="W572"/>
  <c r="Y572"/>
  <c r="AB572"/>
  <c r="AC572"/>
  <c r="AD572"/>
  <c r="P573"/>
  <c r="W573"/>
  <c r="Y573"/>
  <c r="AB573"/>
  <c r="AC573"/>
  <c r="AD573"/>
  <c r="P574"/>
  <c r="W574"/>
  <c r="Y574"/>
  <c r="AB574"/>
  <c r="AC574"/>
  <c r="AD574"/>
  <c r="P575"/>
  <c r="W575"/>
  <c r="Y575"/>
  <c r="AB575"/>
  <c r="AC575"/>
  <c r="AD575"/>
  <c r="P576"/>
  <c r="W576"/>
  <c r="Y576"/>
  <c r="AB576"/>
  <c r="AC576"/>
  <c r="AD576"/>
  <c r="P577"/>
  <c r="W577"/>
  <c r="Y577"/>
  <c r="AB577"/>
  <c r="AC577"/>
  <c r="AD577"/>
  <c r="P578"/>
  <c r="W578"/>
  <c r="Y578"/>
  <c r="AB578"/>
  <c r="AC578"/>
  <c r="AD578"/>
  <c r="P579"/>
  <c r="W579"/>
  <c r="Y579"/>
  <c r="AB579"/>
  <c r="AC579"/>
  <c r="AD579"/>
  <c r="P580"/>
  <c r="W580"/>
  <c r="Y580"/>
  <c r="AB580"/>
  <c r="AC580"/>
  <c r="AD580"/>
  <c r="P581"/>
  <c r="W581"/>
  <c r="Y581"/>
  <c r="AB581"/>
  <c r="AC581"/>
  <c r="AD581"/>
  <c r="P582"/>
  <c r="W582"/>
  <c r="Y582"/>
  <c r="AB582"/>
  <c r="AC582"/>
  <c r="AD582"/>
  <c r="P583"/>
  <c r="W583"/>
  <c r="Y583"/>
  <c r="AB583"/>
  <c r="AC583"/>
  <c r="AD583"/>
  <c r="P584"/>
  <c r="W584"/>
  <c r="Y584"/>
  <c r="AB584"/>
  <c r="AC584"/>
  <c r="AD584"/>
  <c r="P585"/>
  <c r="W585"/>
  <c r="Y585"/>
  <c r="AB585"/>
  <c r="AC585"/>
  <c r="AD585"/>
  <c r="P586"/>
  <c r="W586"/>
  <c r="Y586"/>
  <c r="AB586"/>
  <c r="AC586"/>
  <c r="AD586"/>
  <c r="P587"/>
  <c r="W587"/>
  <c r="Y587"/>
  <c r="AB587"/>
  <c r="AC587"/>
  <c r="AD587"/>
  <c r="P588"/>
  <c r="W588"/>
  <c r="Y588"/>
  <c r="AB588"/>
  <c r="AC588"/>
  <c r="AD588"/>
  <c r="P589"/>
  <c r="W589"/>
  <c r="Y589"/>
  <c r="AB589"/>
  <c r="AC589"/>
  <c r="AD589"/>
  <c r="P590"/>
  <c r="W590"/>
  <c r="Y590"/>
  <c r="AB590"/>
  <c r="AC590"/>
  <c r="AD590"/>
  <c r="P591"/>
  <c r="W591"/>
  <c r="Y591"/>
  <c r="AB591"/>
  <c r="AC591"/>
  <c r="AD591"/>
  <c r="P592"/>
  <c r="W592"/>
  <c r="Y592"/>
  <c r="AB592"/>
  <c r="AC592"/>
  <c r="AD592"/>
  <c r="P593"/>
  <c r="W593"/>
  <c r="Y593"/>
  <c r="AB593"/>
  <c r="AC593"/>
  <c r="AD593"/>
  <c r="P594"/>
  <c r="W594"/>
  <c r="Y594"/>
  <c r="AB594"/>
  <c r="AC594"/>
  <c r="AD594"/>
  <c r="P595"/>
  <c r="W595"/>
  <c r="Y595"/>
  <c r="AB595"/>
  <c r="AC595"/>
  <c r="AD595"/>
  <c r="P596"/>
  <c r="W596"/>
  <c r="Y596"/>
  <c r="AB596"/>
  <c r="AC596"/>
  <c r="AD596"/>
  <c r="P597"/>
  <c r="W597"/>
  <c r="Y597"/>
  <c r="AB597"/>
  <c r="AC597"/>
  <c r="AD597"/>
  <c r="P598"/>
  <c r="W598"/>
  <c r="Y598"/>
  <c r="AB598"/>
  <c r="AC598"/>
  <c r="AD598"/>
  <c r="P599"/>
  <c r="W599"/>
  <c r="Y599"/>
  <c r="AB599"/>
  <c r="AC599"/>
  <c r="AD599"/>
  <c r="P600"/>
  <c r="W600"/>
  <c r="Y600"/>
  <c r="AB600"/>
  <c r="AC600"/>
  <c r="AD600"/>
  <c r="P601"/>
  <c r="W601"/>
  <c r="Y601"/>
  <c r="AB601"/>
  <c r="AC601"/>
  <c r="AD601"/>
  <c r="P602"/>
  <c r="W602"/>
  <c r="Y602"/>
  <c r="AB602"/>
  <c r="AC602"/>
  <c r="AD602"/>
  <c r="P603"/>
  <c r="W603"/>
  <c r="Y603"/>
  <c r="AB603"/>
  <c r="AC603"/>
  <c r="AD603"/>
  <c r="P604"/>
  <c r="W604"/>
  <c r="Y604"/>
  <c r="AB604"/>
  <c r="AC604"/>
  <c r="AD604"/>
  <c r="P605"/>
  <c r="W605"/>
  <c r="Y605"/>
  <c r="AB605"/>
  <c r="AC605"/>
  <c r="AD605"/>
  <c r="P606"/>
  <c r="T606"/>
  <c r="U606"/>
  <c r="V606"/>
  <c r="W606"/>
  <c r="Y606"/>
  <c r="AB606"/>
  <c r="AC606"/>
  <c r="AD606"/>
  <c r="P607"/>
  <c r="T607"/>
  <c r="U607"/>
  <c r="V607"/>
  <c r="W607"/>
  <c r="Y607"/>
  <c r="AB607"/>
  <c r="AC607"/>
  <c r="AD607"/>
  <c r="P608"/>
  <c r="T608"/>
  <c r="U608"/>
  <c r="V608"/>
  <c r="W608"/>
  <c r="Y608"/>
  <c r="AB608"/>
  <c r="AC608"/>
  <c r="AD608"/>
  <c r="P609"/>
  <c r="T609"/>
  <c r="U609"/>
  <c r="V609"/>
  <c r="W609"/>
  <c r="Y609"/>
  <c r="AB609"/>
  <c r="AC609"/>
  <c r="AD609"/>
  <c r="P610"/>
  <c r="T610"/>
  <c r="U610"/>
  <c r="V610"/>
  <c r="W610"/>
  <c r="Y610"/>
  <c r="AB610"/>
  <c r="AC610"/>
  <c r="AD610"/>
  <c r="P611"/>
  <c r="W611"/>
  <c r="Y611"/>
  <c r="AB611"/>
  <c r="AC611"/>
  <c r="AD611"/>
  <c r="P612"/>
  <c r="W612"/>
  <c r="Y612"/>
  <c r="AB612"/>
  <c r="AC612"/>
  <c r="AD612"/>
  <c r="P613"/>
  <c r="W613"/>
  <c r="Y613"/>
  <c r="AB613"/>
  <c r="AC613"/>
  <c r="AD613"/>
  <c r="P614"/>
  <c r="W614"/>
  <c r="Y614"/>
  <c r="AB614"/>
  <c r="AC614"/>
  <c r="AD614"/>
  <c r="P615"/>
  <c r="W615"/>
  <c r="Y615"/>
  <c r="AB615"/>
  <c r="AC615"/>
  <c r="AD615"/>
  <c r="P616"/>
  <c r="W616"/>
  <c r="Y616"/>
  <c r="AB616"/>
  <c r="AC616"/>
  <c r="AD616"/>
  <c r="P617"/>
  <c r="W617"/>
  <c r="Y617"/>
  <c r="AB617"/>
  <c r="AC617"/>
  <c r="AD617"/>
  <c r="P618"/>
  <c r="W618"/>
  <c r="Y618"/>
  <c r="AB618"/>
  <c r="AC618"/>
  <c r="AD618"/>
  <c r="P619"/>
  <c r="T619"/>
  <c r="U619"/>
  <c r="V619"/>
  <c r="W619"/>
  <c r="Y619"/>
  <c r="AB619"/>
  <c r="AC619"/>
  <c r="AD619"/>
  <c r="P620"/>
  <c r="T620"/>
  <c r="U620"/>
  <c r="V620"/>
  <c r="W620"/>
  <c r="Y620"/>
  <c r="AB620"/>
  <c r="AC620"/>
  <c r="AD620"/>
  <c r="P621"/>
  <c r="T621"/>
  <c r="U621"/>
  <c r="V621"/>
  <c r="W621"/>
  <c r="Y621"/>
  <c r="AB621"/>
  <c r="AC621"/>
  <c r="AD621"/>
  <c r="P622"/>
  <c r="T622"/>
  <c r="U622"/>
  <c r="V622"/>
  <c r="W622"/>
  <c r="Y622"/>
  <c r="AB622"/>
  <c r="AC622"/>
  <c r="AD622"/>
  <c r="P623"/>
  <c r="W623"/>
  <c r="Y623"/>
  <c r="AB623"/>
  <c r="AC623"/>
  <c r="AD623"/>
  <c r="P624"/>
  <c r="W624"/>
  <c r="Y624"/>
  <c r="AB624"/>
  <c r="AC624"/>
  <c r="AD624"/>
  <c r="P625"/>
  <c r="W625"/>
  <c r="Y625"/>
  <c r="AB625"/>
  <c r="AC625"/>
  <c r="AD625"/>
  <c r="P626"/>
  <c r="W626"/>
  <c r="Y626"/>
  <c r="AB626"/>
  <c r="AC626"/>
  <c r="AD626"/>
  <c r="P627"/>
  <c r="W627"/>
  <c r="Y627"/>
  <c r="AB627"/>
  <c r="AC627"/>
  <c r="AD627"/>
  <c r="P628"/>
  <c r="W628"/>
  <c r="Y628"/>
  <c r="AB628"/>
  <c r="AC628"/>
  <c r="AD628"/>
  <c r="P629"/>
  <c r="W629"/>
  <c r="Y629"/>
  <c r="AB629"/>
  <c r="AC629"/>
  <c r="AD629"/>
  <c r="P630"/>
  <c r="W630"/>
  <c r="Y630"/>
  <c r="AB630"/>
  <c r="AC630"/>
  <c r="AD630"/>
  <c r="P631"/>
  <c r="W631"/>
  <c r="Y631"/>
  <c r="AB631"/>
  <c r="AC631"/>
  <c r="AD631"/>
  <c r="P632"/>
  <c r="T632"/>
  <c r="U632"/>
  <c r="V632"/>
  <c r="W632"/>
  <c r="Y632"/>
  <c r="AB632"/>
  <c r="AC632"/>
  <c r="AD632"/>
  <c r="P633"/>
  <c r="T633"/>
  <c r="U633"/>
  <c r="V633"/>
  <c r="W633"/>
  <c r="Y633"/>
  <c r="AB633"/>
  <c r="AC633"/>
  <c r="AD633"/>
  <c r="P634"/>
  <c r="T634"/>
  <c r="U634"/>
  <c r="V634"/>
  <c r="W634"/>
  <c r="Y634"/>
  <c r="AB634"/>
  <c r="AC634"/>
  <c r="AD634"/>
  <c r="P635"/>
  <c r="T635"/>
  <c r="U635"/>
  <c r="V635"/>
  <c r="W635"/>
  <c r="Y635"/>
  <c r="AB635"/>
  <c r="AC635"/>
  <c r="AD635"/>
  <c r="P636"/>
  <c r="W636"/>
  <c r="Y636"/>
  <c r="AB636"/>
  <c r="AC636"/>
  <c r="AD636"/>
  <c r="P637"/>
  <c r="T637"/>
  <c r="U637"/>
  <c r="V637"/>
  <c r="W637"/>
  <c r="Y637"/>
  <c r="AB637"/>
  <c r="AC637"/>
  <c r="P638"/>
  <c r="T638"/>
  <c r="U638"/>
  <c r="V638"/>
  <c r="W638"/>
  <c r="Y638"/>
  <c r="AB638"/>
  <c r="AC638"/>
  <c r="AD638"/>
  <c r="P639"/>
  <c r="T639"/>
  <c r="U639"/>
  <c r="V639"/>
  <c r="W639"/>
  <c r="Y639"/>
  <c r="AB639"/>
  <c r="AC639"/>
  <c r="AD639"/>
  <c r="P640"/>
  <c r="T640"/>
  <c r="U640"/>
  <c r="V640"/>
  <c r="W640"/>
  <c r="Y640"/>
  <c r="AB640"/>
  <c r="AC640"/>
  <c r="AD640"/>
  <c r="P641"/>
  <c r="T641"/>
  <c r="U641"/>
  <c r="V641"/>
  <c r="W641"/>
  <c r="Y641"/>
  <c r="AB641"/>
  <c r="AC641"/>
  <c r="AD641"/>
  <c r="P642"/>
  <c r="W642"/>
  <c r="Y642"/>
  <c r="AB642"/>
  <c r="AC642"/>
  <c r="AD642"/>
  <c r="P643"/>
  <c r="W643"/>
  <c r="Y643"/>
  <c r="AB643"/>
  <c r="AC643"/>
  <c r="AD643"/>
  <c r="P644"/>
  <c r="W644"/>
  <c r="Y644"/>
  <c r="AB644"/>
  <c r="AC644"/>
  <c r="AD644"/>
  <c r="P645"/>
  <c r="W645"/>
  <c r="Y645"/>
  <c r="AB645"/>
  <c r="AC645"/>
  <c r="AD645"/>
  <c r="P646"/>
  <c r="W646"/>
  <c r="Y646"/>
  <c r="AB646"/>
  <c r="AC646"/>
  <c r="AD646"/>
  <c r="P647"/>
  <c r="W647"/>
  <c r="Y647"/>
  <c r="AB647"/>
  <c r="AC647"/>
  <c r="AD647"/>
  <c r="P648"/>
  <c r="W648"/>
  <c r="Y648"/>
  <c r="AB648"/>
  <c r="AC648"/>
  <c r="AD648"/>
  <c r="P649"/>
  <c r="W649"/>
  <c r="Y649"/>
  <c r="AB649"/>
  <c r="AC649"/>
  <c r="AD649"/>
  <c r="P650"/>
  <c r="T650"/>
  <c r="U650"/>
  <c r="V650"/>
  <c r="W650"/>
  <c r="Y650"/>
  <c r="AB650"/>
  <c r="AC650"/>
  <c r="AD650"/>
  <c r="P651"/>
  <c r="T651"/>
  <c r="U651"/>
  <c r="V651"/>
  <c r="W651"/>
  <c r="Y651"/>
  <c r="AB651"/>
  <c r="AC651"/>
  <c r="AD651"/>
  <c r="P652"/>
  <c r="T652"/>
  <c r="U652"/>
  <c r="V652"/>
  <c r="W652"/>
  <c r="Y652"/>
  <c r="AB652"/>
  <c r="AC652"/>
  <c r="AD652"/>
  <c r="P653"/>
  <c r="T653"/>
  <c r="U653"/>
  <c r="V653"/>
  <c r="W653"/>
  <c r="Y653"/>
  <c r="AB653"/>
  <c r="AC653"/>
  <c r="AD653"/>
  <c r="P654"/>
  <c r="T654"/>
  <c r="U654"/>
  <c r="V654"/>
  <c r="W654"/>
  <c r="Y654"/>
  <c r="AB654"/>
  <c r="AC654"/>
  <c r="AD654"/>
  <c r="P655"/>
  <c r="T655"/>
  <c r="U655"/>
  <c r="V655"/>
  <c r="W655"/>
  <c r="Y655"/>
  <c r="AB655"/>
  <c r="AC655"/>
  <c r="AD655"/>
  <c r="P656"/>
  <c r="T656"/>
  <c r="U656"/>
  <c r="V656"/>
  <c r="W656"/>
  <c r="Y656"/>
  <c r="AB656"/>
  <c r="AC656"/>
  <c r="AD656"/>
  <c r="P657"/>
  <c r="W657"/>
  <c r="Y657"/>
  <c r="AB657"/>
  <c r="AC657"/>
  <c r="AD657"/>
  <c r="P658"/>
  <c r="W658"/>
  <c r="Y658"/>
  <c r="AB658"/>
  <c r="AC658"/>
  <c r="AD658"/>
  <c r="P659"/>
  <c r="W659"/>
  <c r="Y659"/>
  <c r="AB659"/>
  <c r="AC659"/>
  <c r="AD659"/>
  <c r="P661"/>
  <c r="W661"/>
  <c r="Y661"/>
  <c r="AB661"/>
  <c r="AC661"/>
  <c r="AD661"/>
  <c r="P662"/>
  <c r="W662"/>
  <c r="Y662"/>
  <c r="AB662"/>
  <c r="AC662"/>
  <c r="AD662"/>
  <c r="P663"/>
  <c r="W663"/>
  <c r="Y663"/>
  <c r="AB663"/>
  <c r="AC663"/>
  <c r="AD663"/>
  <c r="P664"/>
  <c r="W664"/>
  <c r="Y664"/>
  <c r="AB664"/>
  <c r="AC664"/>
  <c r="AD664"/>
  <c r="P665"/>
  <c r="T665"/>
  <c r="U665"/>
  <c r="V665"/>
  <c r="W665"/>
  <c r="Y665"/>
  <c r="AB665"/>
  <c r="AC665"/>
  <c r="AD665"/>
  <c r="P666"/>
  <c r="W666"/>
  <c r="Y666"/>
  <c r="AB666"/>
  <c r="AC666"/>
  <c r="AD666"/>
  <c r="P667"/>
  <c r="T667"/>
  <c r="U667"/>
  <c r="V667"/>
  <c r="W667"/>
  <c r="Y667"/>
  <c r="AB667"/>
  <c r="AC667"/>
  <c r="AD667"/>
  <c r="P668"/>
  <c r="T668"/>
  <c r="U668"/>
  <c r="V668"/>
  <c r="W668"/>
  <c r="Y668"/>
  <c r="AB668"/>
  <c r="AC668"/>
  <c r="AD668"/>
  <c r="P669"/>
  <c r="W669"/>
  <c r="Y669"/>
  <c r="AB669"/>
  <c r="AC669"/>
  <c r="AD669"/>
  <c r="P670"/>
  <c r="W670"/>
  <c r="Y670"/>
  <c r="AB670"/>
  <c r="AC670"/>
  <c r="AD670"/>
  <c r="P671"/>
  <c r="W671"/>
  <c r="Y671"/>
  <c r="AB671"/>
  <c r="AC671"/>
  <c r="AD671"/>
  <c r="P672"/>
  <c r="T672"/>
  <c r="U672"/>
  <c r="V672"/>
  <c r="W672"/>
  <c r="Y672"/>
  <c r="AB672"/>
  <c r="AC672"/>
  <c r="AD672"/>
  <c r="P673"/>
  <c r="T673"/>
  <c r="U673"/>
  <c r="V673"/>
  <c r="W673"/>
  <c r="Y673"/>
  <c r="AB673"/>
  <c r="AC673"/>
  <c r="AD673"/>
  <c r="P674"/>
  <c r="T674"/>
  <c r="U674"/>
  <c r="V674"/>
  <c r="W674"/>
  <c r="Y674"/>
  <c r="AB674"/>
  <c r="AC674"/>
  <c r="AD674"/>
  <c r="P675"/>
  <c r="T675"/>
  <c r="U675"/>
  <c r="V675"/>
  <c r="W675"/>
  <c r="Y675"/>
  <c r="AB675"/>
  <c r="AC675"/>
  <c r="AD675"/>
  <c r="P676"/>
  <c r="T676"/>
  <c r="U676"/>
  <c r="V676"/>
  <c r="W676"/>
  <c r="Y676"/>
  <c r="AB676"/>
  <c r="AC676"/>
  <c r="AD676"/>
  <c r="P677"/>
  <c r="T677"/>
  <c r="U677"/>
  <c r="V677"/>
  <c r="W677"/>
  <c r="Y677"/>
  <c r="AB677"/>
  <c r="AC677"/>
  <c r="AD677"/>
  <c r="P678"/>
  <c r="T678"/>
  <c r="U678"/>
  <c r="V678"/>
  <c r="W678"/>
  <c r="Y678"/>
  <c r="AB678"/>
  <c r="AC678"/>
  <c r="AD678"/>
  <c r="P679"/>
  <c r="T679"/>
  <c r="U679"/>
  <c r="V679"/>
  <c r="W679"/>
  <c r="Y679"/>
  <c r="AB679"/>
  <c r="AC679"/>
  <c r="AD679"/>
  <c r="P680"/>
  <c r="T680"/>
  <c r="U680"/>
  <c r="V680"/>
  <c r="W680"/>
  <c r="Y680"/>
  <c r="AB680"/>
  <c r="AC680"/>
  <c r="AD680"/>
  <c r="P681"/>
  <c r="T681"/>
  <c r="U681"/>
  <c r="V681"/>
  <c r="W681"/>
  <c r="Y681"/>
  <c r="AB681"/>
  <c r="AC681"/>
  <c r="AD681"/>
  <c r="P682"/>
  <c r="T682"/>
  <c r="U682"/>
  <c r="V682"/>
  <c r="W682"/>
  <c r="Y682"/>
  <c r="AB682"/>
  <c r="AC682"/>
  <c r="AD682"/>
  <c r="P683"/>
  <c r="T683"/>
  <c r="U683"/>
  <c r="V683"/>
  <c r="W683"/>
  <c r="Y683"/>
  <c r="AB683"/>
  <c r="AC683"/>
  <c r="AD683"/>
  <c r="P684"/>
  <c r="T684"/>
  <c r="U684"/>
  <c r="V684"/>
  <c r="W684"/>
  <c r="Y684"/>
  <c r="AB684"/>
  <c r="AC684"/>
  <c r="AD684"/>
  <c r="P685"/>
  <c r="T685"/>
  <c r="U685"/>
  <c r="V685"/>
  <c r="W685"/>
  <c r="Y685"/>
  <c r="AB685"/>
  <c r="AC685"/>
  <c r="AD685"/>
  <c r="P686"/>
  <c r="T686"/>
  <c r="U686"/>
  <c r="V686"/>
  <c r="W686"/>
  <c r="Y686"/>
  <c r="AB686"/>
  <c r="AC686"/>
  <c r="AD686"/>
  <c r="P687"/>
  <c r="T687"/>
  <c r="U687"/>
  <c r="V687"/>
  <c r="W687"/>
  <c r="Y687"/>
  <c r="AB687"/>
  <c r="AC687"/>
  <c r="AD687"/>
  <c r="P688"/>
  <c r="T688"/>
  <c r="U688"/>
  <c r="V688"/>
  <c r="W688"/>
  <c r="Y688"/>
  <c r="AB688"/>
  <c r="AC688"/>
  <c r="AD688"/>
  <c r="P689"/>
  <c r="T689"/>
  <c r="U689"/>
  <c r="V689"/>
  <c r="W689"/>
  <c r="Y689"/>
  <c r="AB689"/>
  <c r="AC689"/>
  <c r="AD689"/>
  <c r="P690"/>
  <c r="T690"/>
  <c r="U690"/>
  <c r="V690"/>
  <c r="W690"/>
  <c r="Y690"/>
  <c r="AB690"/>
  <c r="AC690"/>
  <c r="AD690"/>
  <c r="P691"/>
  <c r="T691"/>
  <c r="U691"/>
  <c r="V691"/>
  <c r="W691"/>
  <c r="Y691"/>
  <c r="AB691"/>
  <c r="AC691"/>
  <c r="AD691"/>
  <c r="P692"/>
  <c r="T692"/>
  <c r="U692"/>
  <c r="V692"/>
  <c r="W692"/>
  <c r="Y692"/>
  <c r="AB692"/>
  <c r="AC692"/>
  <c r="AD692"/>
  <c r="P693"/>
  <c r="T693"/>
  <c r="U693"/>
  <c r="V693"/>
  <c r="W693"/>
  <c r="Y693"/>
  <c r="AB693"/>
  <c r="AC693"/>
  <c r="AD693"/>
  <c r="P694"/>
  <c r="T694"/>
  <c r="U694"/>
  <c r="V694"/>
  <c r="W694"/>
  <c r="Y694"/>
  <c r="AB694"/>
  <c r="AC694"/>
  <c r="AD694"/>
  <c r="P695"/>
  <c r="T695"/>
  <c r="U695"/>
  <c r="V695"/>
  <c r="W695"/>
  <c r="Y695"/>
  <c r="AB695"/>
  <c r="AC695"/>
  <c r="AD695"/>
  <c r="P696"/>
  <c r="T696"/>
  <c r="U696"/>
  <c r="V696"/>
  <c r="W696"/>
  <c r="Y696"/>
  <c r="AB696"/>
  <c r="AC696"/>
  <c r="AD696"/>
  <c r="P697"/>
  <c r="T697"/>
  <c r="U697"/>
  <c r="V697"/>
  <c r="W697"/>
  <c r="Y697"/>
  <c r="AB697"/>
  <c r="AC697"/>
  <c r="AD697"/>
  <c r="P698"/>
  <c r="T698"/>
  <c r="U698"/>
  <c r="V698"/>
  <c r="W698"/>
  <c r="Y698"/>
  <c r="AB698"/>
  <c r="AC698"/>
  <c r="AD698"/>
  <c r="P699"/>
  <c r="T699"/>
  <c r="U699"/>
  <c r="V699"/>
  <c r="W699"/>
  <c r="Y699"/>
  <c r="AB699"/>
  <c r="AC699"/>
  <c r="AD699"/>
  <c r="P700"/>
  <c r="T700"/>
  <c r="U700"/>
  <c r="V700"/>
  <c r="W700"/>
  <c r="Y700"/>
  <c r="AB700"/>
  <c r="AC700"/>
  <c r="AD700"/>
  <c r="P701"/>
  <c r="T701"/>
  <c r="U701"/>
  <c r="V701"/>
  <c r="W701"/>
  <c r="Y701"/>
  <c r="AB701"/>
  <c r="AC701"/>
  <c r="AD701"/>
  <c r="P702"/>
  <c r="T702"/>
  <c r="U702"/>
  <c r="V702"/>
  <c r="W702"/>
  <c r="Y702"/>
  <c r="AB702"/>
  <c r="AC702"/>
  <c r="AD702"/>
  <c r="P703"/>
  <c r="T703"/>
  <c r="U703"/>
  <c r="V703"/>
  <c r="W703"/>
  <c r="Y703"/>
  <c r="AB703"/>
  <c r="AC703"/>
  <c r="AD703"/>
  <c r="P704"/>
  <c r="T704"/>
  <c r="U704"/>
  <c r="V704"/>
  <c r="W704"/>
  <c r="Y704"/>
  <c r="AB704"/>
  <c r="AC704"/>
  <c r="AD704"/>
  <c r="P705"/>
  <c r="T705"/>
  <c r="U705"/>
  <c r="V705"/>
  <c r="W705"/>
  <c r="Y705"/>
  <c r="AB705"/>
  <c r="AC705"/>
  <c r="AD705"/>
  <c r="P706"/>
  <c r="T706"/>
  <c r="U706"/>
  <c r="V706"/>
  <c r="W706"/>
  <c r="Y706"/>
  <c r="AB706"/>
  <c r="AC706"/>
  <c r="AD706"/>
  <c r="P707"/>
  <c r="T707"/>
  <c r="U707"/>
  <c r="V707"/>
  <c r="W707"/>
  <c r="Y707"/>
  <c r="AB707"/>
  <c r="AC707"/>
  <c r="AD707"/>
  <c r="P708"/>
  <c r="T708"/>
  <c r="U708"/>
  <c r="V708"/>
  <c r="W708"/>
  <c r="Y708"/>
  <c r="AB708"/>
  <c r="AC708"/>
  <c r="AD708"/>
  <c r="P709"/>
  <c r="T709"/>
  <c r="U709"/>
  <c r="V709"/>
  <c r="W709"/>
  <c r="Y709"/>
  <c r="AB709"/>
  <c r="AC709"/>
  <c r="AD709"/>
  <c r="P710"/>
  <c r="T710"/>
  <c r="U710"/>
  <c r="V710"/>
  <c r="W710"/>
  <c r="Y710"/>
  <c r="AB710"/>
  <c r="AC710"/>
  <c r="AD710"/>
  <c r="P711"/>
  <c r="T711"/>
  <c r="U711"/>
  <c r="V711"/>
  <c r="W711"/>
  <c r="Y711"/>
  <c r="AB711"/>
  <c r="AC711"/>
  <c r="AD711"/>
  <c r="P712"/>
  <c r="T712"/>
  <c r="U712"/>
  <c r="V712"/>
  <c r="W712"/>
  <c r="Y712"/>
  <c r="AB712"/>
  <c r="AC712"/>
  <c r="AD712"/>
  <c r="P713"/>
  <c r="T713"/>
  <c r="U713"/>
  <c r="V713"/>
  <c r="W713"/>
  <c r="Y713"/>
  <c r="AB713"/>
  <c r="AC713"/>
  <c r="AD713"/>
  <c r="P714"/>
  <c r="T714"/>
  <c r="U714"/>
  <c r="V714"/>
  <c r="W714"/>
  <c r="Y714"/>
  <c r="AB714"/>
  <c r="AC714"/>
  <c r="AD714"/>
  <c r="P715"/>
  <c r="T715"/>
  <c r="U715"/>
  <c r="V715"/>
  <c r="W715"/>
  <c r="Y715"/>
  <c r="AB715"/>
  <c r="AC715"/>
  <c r="AD715"/>
  <c r="P716"/>
  <c r="T716"/>
  <c r="U716"/>
  <c r="V716"/>
  <c r="W716"/>
  <c r="Y716"/>
  <c r="AB716"/>
  <c r="AC716"/>
  <c r="AD716"/>
  <c r="P717"/>
  <c r="T717"/>
  <c r="U717"/>
  <c r="V717"/>
  <c r="W717"/>
  <c r="Y717"/>
  <c r="AB717"/>
  <c r="AC717"/>
  <c r="AD717"/>
  <c r="P718"/>
  <c r="T718"/>
  <c r="U718"/>
  <c r="V718"/>
  <c r="W718"/>
  <c r="Y718"/>
  <c r="AB718"/>
  <c r="AC718"/>
  <c r="AD718"/>
  <c r="P719"/>
  <c r="T719"/>
  <c r="U719"/>
  <c r="V719"/>
  <c r="W719"/>
  <c r="Y719"/>
  <c r="AB719"/>
  <c r="AC719"/>
  <c r="AD719"/>
  <c r="P720"/>
  <c r="T720"/>
  <c r="U720"/>
  <c r="V720"/>
  <c r="W720"/>
  <c r="Y720"/>
  <c r="AB720"/>
  <c r="AC720"/>
  <c r="AD720"/>
  <c r="P721"/>
  <c r="T721"/>
  <c r="U721"/>
  <c r="V721"/>
  <c r="W721"/>
  <c r="Y721"/>
  <c r="AB721"/>
  <c r="AC721"/>
  <c r="AD721"/>
  <c r="P722"/>
  <c r="T722"/>
  <c r="U722"/>
  <c r="V722"/>
  <c r="W722"/>
  <c r="Y722"/>
  <c r="AB722"/>
  <c r="AC722"/>
  <c r="AD722"/>
  <c r="P723"/>
  <c r="T723"/>
  <c r="U723"/>
  <c r="V723"/>
  <c r="W723"/>
  <c r="Y723"/>
  <c r="AB723"/>
  <c r="AC723"/>
  <c r="AD723"/>
  <c r="P725"/>
  <c r="T725"/>
  <c r="U725"/>
  <c r="V725"/>
  <c r="W725"/>
  <c r="Y725"/>
  <c r="AB725"/>
  <c r="AC725"/>
  <c r="AD725"/>
  <c r="P726"/>
  <c r="T726"/>
  <c r="U726"/>
  <c r="V726"/>
  <c r="W726"/>
  <c r="Y726"/>
  <c r="AB726"/>
  <c r="AC726"/>
  <c r="AD726"/>
  <c r="P727"/>
  <c r="T727"/>
  <c r="U727"/>
  <c r="V727"/>
  <c r="W727"/>
  <c r="Y727"/>
  <c r="AB727"/>
  <c r="AC727"/>
  <c r="AD727"/>
  <c r="P728"/>
  <c r="T728"/>
  <c r="U728"/>
  <c r="V728"/>
  <c r="W728"/>
  <c r="Y728"/>
  <c r="AB728"/>
  <c r="AC728"/>
  <c r="AD728"/>
  <c r="P729"/>
  <c r="T729"/>
  <c r="U729"/>
  <c r="V729"/>
  <c r="W729"/>
  <c r="Y729"/>
  <c r="AB729"/>
  <c r="AC729"/>
  <c r="AD729"/>
  <c r="P730"/>
  <c r="T730"/>
  <c r="U730"/>
  <c r="V730"/>
  <c r="W730"/>
  <c r="Y730"/>
  <c r="AB730"/>
  <c r="AC730"/>
  <c r="AD730"/>
  <c r="P731"/>
  <c r="T731"/>
  <c r="U731"/>
  <c r="V731"/>
  <c r="W731"/>
  <c r="Y731"/>
  <c r="AB731"/>
  <c r="AC731"/>
  <c r="P732"/>
  <c r="T732"/>
  <c r="U732"/>
  <c r="V732"/>
  <c r="W732"/>
  <c r="Y732"/>
  <c r="AB732"/>
  <c r="AC732"/>
  <c r="P733"/>
  <c r="T733"/>
  <c r="U733"/>
  <c r="V733"/>
  <c r="W733"/>
  <c r="Y733"/>
  <c r="AB733"/>
  <c r="AC733"/>
  <c r="P734"/>
  <c r="T734"/>
  <c r="U734"/>
  <c r="V734"/>
  <c r="W734"/>
  <c r="Y734"/>
  <c r="AB734"/>
  <c r="AC734"/>
  <c r="P735"/>
  <c r="T735"/>
  <c r="U735"/>
  <c r="V735"/>
  <c r="W735"/>
  <c r="Y735"/>
  <c r="AB735"/>
  <c r="AC735"/>
  <c r="P736"/>
  <c r="T736"/>
  <c r="U736"/>
  <c r="V736"/>
  <c r="W736"/>
  <c r="Y736"/>
  <c r="AB736"/>
  <c r="AC736"/>
  <c r="P737"/>
  <c r="T737"/>
  <c r="U737"/>
  <c r="V737"/>
  <c r="W737"/>
  <c r="Y737"/>
  <c r="AB737"/>
  <c r="AC737"/>
  <c r="P738"/>
  <c r="T738"/>
  <c r="U738"/>
  <c r="V738"/>
  <c r="W738"/>
  <c r="Y738"/>
  <c r="AB738"/>
  <c r="AC738"/>
  <c r="P739"/>
  <c r="T739"/>
  <c r="U739"/>
  <c r="V739"/>
  <c r="W739"/>
  <c r="Y739"/>
  <c r="AB739"/>
  <c r="AC739"/>
  <c r="P740"/>
  <c r="T740"/>
  <c r="U740"/>
  <c r="V740"/>
  <c r="W740"/>
  <c r="Y740"/>
  <c r="AB740"/>
  <c r="AC740"/>
  <c r="P741"/>
  <c r="T741"/>
  <c r="U741"/>
  <c r="V741"/>
  <c r="W741"/>
  <c r="Y741"/>
  <c r="AB741"/>
  <c r="AC741"/>
  <c r="P742"/>
  <c r="T742"/>
  <c r="U742"/>
  <c r="V742"/>
  <c r="W742"/>
  <c r="Y742"/>
  <c r="AB742"/>
  <c r="AC742"/>
  <c r="P743"/>
  <c r="T743"/>
  <c r="U743"/>
  <c r="V743"/>
  <c r="W743"/>
  <c r="Y743"/>
  <c r="AB743"/>
  <c r="AC743"/>
  <c r="P744"/>
  <c r="T744"/>
  <c r="U744"/>
  <c r="V744"/>
  <c r="W744"/>
  <c r="Y744"/>
  <c r="AB744"/>
  <c r="AC744"/>
  <c r="P745"/>
  <c r="T745"/>
  <c r="U745"/>
  <c r="V745"/>
  <c r="W745"/>
  <c r="Y745"/>
  <c r="AB745"/>
  <c r="AC745"/>
  <c r="P746"/>
  <c r="T746"/>
  <c r="U746"/>
  <c r="V746"/>
  <c r="W746"/>
  <c r="Y746"/>
  <c r="AB746"/>
  <c r="AC746"/>
  <c r="P747"/>
  <c r="T747"/>
  <c r="U747"/>
  <c r="V747"/>
  <c r="W747"/>
  <c r="Y747"/>
  <c r="AB747"/>
  <c r="AC747"/>
  <c r="P748"/>
  <c r="T748"/>
  <c r="U748"/>
  <c r="V748"/>
  <c r="W748"/>
  <c r="Y748"/>
  <c r="AB748"/>
  <c r="AC748"/>
  <c r="P749"/>
  <c r="T749"/>
  <c r="U749"/>
  <c r="V749"/>
  <c r="W749"/>
  <c r="Y749"/>
  <c r="AB749"/>
  <c r="AC749"/>
  <c r="P750"/>
  <c r="T750"/>
  <c r="U750"/>
  <c r="V750"/>
  <c r="W750"/>
  <c r="Y750"/>
  <c r="AB750"/>
  <c r="AC750"/>
  <c r="AD750"/>
  <c r="P751"/>
  <c r="T751"/>
  <c r="U751"/>
  <c r="V751"/>
  <c r="W751"/>
  <c r="Y751"/>
  <c r="AB751"/>
  <c r="AC751"/>
  <c r="AD751"/>
  <c r="P752"/>
  <c r="T752"/>
  <c r="U752"/>
  <c r="V752"/>
  <c r="W752"/>
  <c r="Y752"/>
  <c r="AB752"/>
  <c r="AC752"/>
  <c r="AD752"/>
  <c r="P753"/>
  <c r="T753"/>
  <c r="U753"/>
  <c r="V753"/>
  <c r="W753"/>
  <c r="Y753"/>
  <c r="AB753"/>
  <c r="AC753"/>
  <c r="AD753"/>
  <c r="P754"/>
  <c r="T754"/>
  <c r="U754"/>
  <c r="V754"/>
  <c r="W754"/>
  <c r="Y754"/>
  <c r="AB754"/>
  <c r="AC754"/>
  <c r="AD754"/>
  <c r="P755"/>
  <c r="T755"/>
  <c r="U755"/>
  <c r="V755"/>
  <c r="W755"/>
  <c r="Y755"/>
  <c r="AB755"/>
  <c r="AC755"/>
  <c r="AD755"/>
  <c r="P756"/>
  <c r="T756"/>
  <c r="U756"/>
  <c r="V756"/>
  <c r="W756"/>
  <c r="Y756"/>
  <c r="AB756"/>
  <c r="AC756"/>
  <c r="AD756"/>
  <c r="P757"/>
  <c r="T757"/>
  <c r="U757"/>
  <c r="V757"/>
  <c r="W757"/>
  <c r="Y757"/>
  <c r="AB757"/>
  <c r="AC757"/>
  <c r="AD757"/>
  <c r="P758"/>
  <c r="T758"/>
  <c r="U758"/>
  <c r="V758"/>
  <c r="W758"/>
  <c r="Y758"/>
  <c r="AB758"/>
  <c r="AC758"/>
  <c r="AD758"/>
  <c r="P759"/>
  <c r="T759"/>
  <c r="U759"/>
  <c r="V759"/>
  <c r="W759"/>
  <c r="Y759"/>
  <c r="AB759"/>
  <c r="AC759"/>
  <c r="AD759"/>
  <c r="P760"/>
  <c r="T760"/>
  <c r="U760"/>
  <c r="V760"/>
  <c r="W760"/>
  <c r="Y760"/>
  <c r="AB760"/>
  <c r="AC760"/>
  <c r="AD760"/>
  <c r="P761"/>
  <c r="T761"/>
  <c r="U761"/>
  <c r="V761"/>
  <c r="W761"/>
  <c r="Y761"/>
  <c r="AB761"/>
  <c r="AC761"/>
  <c r="AD761"/>
  <c r="P762"/>
  <c r="T762"/>
  <c r="U762"/>
  <c r="V762"/>
  <c r="W762"/>
  <c r="Y762"/>
  <c r="AB762"/>
  <c r="AC762"/>
  <c r="AD762"/>
  <c r="P763"/>
  <c r="T763"/>
  <c r="U763"/>
  <c r="V763"/>
  <c r="W763"/>
  <c r="Y763"/>
  <c r="AB763"/>
  <c r="AC763"/>
  <c r="AD763"/>
  <c r="P764"/>
  <c r="T764"/>
  <c r="U764"/>
  <c r="V764"/>
  <c r="W764"/>
  <c r="Y764"/>
  <c r="AB764"/>
  <c r="AC764"/>
  <c r="AD764"/>
  <c r="P765"/>
  <c r="T765"/>
  <c r="U765"/>
  <c r="V765"/>
  <c r="W765"/>
  <c r="Y765"/>
  <c r="AB765"/>
  <c r="AC765"/>
  <c r="AD765"/>
  <c r="P766"/>
  <c r="T766"/>
  <c r="U766"/>
  <c r="V766"/>
  <c r="W766"/>
  <c r="Y766"/>
  <c r="AB766"/>
  <c r="AC766"/>
  <c r="AD766"/>
  <c r="P767"/>
  <c r="T767"/>
  <c r="U767"/>
  <c r="V767"/>
  <c r="W767"/>
  <c r="Y767"/>
  <c r="AB767"/>
  <c r="AC767"/>
  <c r="AD767"/>
  <c r="P768"/>
  <c r="T768"/>
  <c r="U768"/>
  <c r="V768"/>
  <c r="W768"/>
  <c r="Y768"/>
  <c r="AB768"/>
  <c r="AC768"/>
  <c r="AD768"/>
  <c r="P769"/>
  <c r="T769"/>
  <c r="U769"/>
  <c r="V769"/>
  <c r="W769"/>
  <c r="Y769"/>
  <c r="AB769"/>
  <c r="AC769"/>
  <c r="AD769"/>
  <c r="P770"/>
  <c r="T770"/>
  <c r="U770"/>
  <c r="V770"/>
  <c r="W770"/>
  <c r="Y770"/>
  <c r="AB770"/>
  <c r="AC770"/>
  <c r="AD770"/>
  <c r="P771"/>
  <c r="T771"/>
  <c r="U771"/>
  <c r="V771"/>
  <c r="W771"/>
  <c r="Y771"/>
  <c r="AB771"/>
  <c r="AC771"/>
  <c r="AD771"/>
  <c r="P772"/>
  <c r="T772"/>
  <c r="U772"/>
  <c r="V772"/>
  <c r="W772"/>
  <c r="Y772"/>
  <c r="AB772"/>
  <c r="AC772"/>
  <c r="AD772"/>
  <c r="P773"/>
  <c r="T773"/>
  <c r="U773"/>
  <c r="V773"/>
  <c r="W773"/>
  <c r="Y773"/>
  <c r="AB773"/>
  <c r="AC773"/>
  <c r="AD773"/>
  <c r="P774"/>
  <c r="T774"/>
  <c r="U774"/>
  <c r="V774"/>
  <c r="W774"/>
  <c r="Y774"/>
  <c r="AB774"/>
  <c r="AC774"/>
  <c r="AD774"/>
  <c r="P775"/>
  <c r="T775"/>
  <c r="U775"/>
  <c r="V775"/>
  <c r="W775"/>
  <c r="Y775"/>
  <c r="AB775"/>
  <c r="AC775"/>
  <c r="AD775"/>
  <c r="P776"/>
  <c r="T776"/>
  <c r="U776"/>
  <c r="V776"/>
  <c r="W776"/>
  <c r="Y776"/>
  <c r="AB776"/>
  <c r="AC776"/>
  <c r="AD776"/>
  <c r="P777"/>
  <c r="T777"/>
  <c r="U777"/>
  <c r="V777"/>
  <c r="W777"/>
  <c r="Y777"/>
  <c r="AB777"/>
  <c r="AC777"/>
  <c r="AD777"/>
  <c r="P778"/>
  <c r="T778"/>
  <c r="U778"/>
  <c r="V778"/>
  <c r="W778"/>
  <c r="Y778"/>
  <c r="AB778"/>
  <c r="AC778"/>
  <c r="AD778"/>
  <c r="P779"/>
  <c r="T779"/>
  <c r="U779"/>
  <c r="V779"/>
  <c r="W779"/>
  <c r="Y779"/>
  <c r="AB779"/>
  <c r="AC779"/>
  <c r="AD779"/>
  <c r="P780"/>
  <c r="T780"/>
  <c r="U780"/>
  <c r="V780"/>
  <c r="W780"/>
  <c r="Y780"/>
  <c r="AB780"/>
  <c r="AC780"/>
  <c r="AD780"/>
  <c r="P781"/>
  <c r="T781"/>
  <c r="U781"/>
  <c r="V781"/>
  <c r="W781"/>
  <c r="Y781"/>
  <c r="AB781"/>
  <c r="AC781"/>
  <c r="AD781"/>
  <c r="P782"/>
  <c r="T782"/>
  <c r="U782"/>
  <c r="V782"/>
  <c r="W782"/>
  <c r="Y782"/>
  <c r="AB782"/>
  <c r="AC782"/>
  <c r="AD782"/>
  <c r="P783"/>
  <c r="T783"/>
  <c r="U783"/>
  <c r="V783"/>
  <c r="W783"/>
  <c r="Y783"/>
  <c r="AB783"/>
  <c r="AC783"/>
  <c r="AD783"/>
  <c r="P784"/>
  <c r="T784"/>
  <c r="U784"/>
  <c r="V784"/>
  <c r="W784"/>
  <c r="Y784"/>
  <c r="AB784"/>
  <c r="AC784"/>
  <c r="AD784"/>
  <c r="P785"/>
  <c r="T785"/>
  <c r="U785"/>
  <c r="V785"/>
  <c r="W785"/>
  <c r="Y785"/>
  <c r="AB785"/>
  <c r="AC785"/>
  <c r="AD785"/>
  <c r="P786"/>
  <c r="T786"/>
  <c r="U786"/>
  <c r="V786"/>
  <c r="W786"/>
  <c r="Y786"/>
  <c r="AB786"/>
  <c r="AC786"/>
  <c r="AD786"/>
  <c r="P787"/>
  <c r="T787"/>
  <c r="U787"/>
  <c r="V787"/>
  <c r="W787"/>
  <c r="Y787"/>
  <c r="AB787"/>
  <c r="AC787"/>
  <c r="AD787"/>
  <c r="P788"/>
  <c r="T788"/>
  <c r="U788"/>
  <c r="V788"/>
  <c r="W788"/>
  <c r="Y788"/>
  <c r="AB788"/>
  <c r="AC788"/>
  <c r="AD788"/>
  <c r="P789"/>
  <c r="T789"/>
  <c r="U789"/>
  <c r="V789"/>
  <c r="W789"/>
  <c r="Y789"/>
  <c r="AB789"/>
  <c r="AC789"/>
  <c r="AD789"/>
  <c r="P790"/>
  <c r="T790"/>
  <c r="U790"/>
  <c r="V790"/>
  <c r="W790"/>
  <c r="Y790"/>
  <c r="AB790"/>
  <c r="AC790"/>
  <c r="AD790"/>
  <c r="P791"/>
  <c r="T791"/>
  <c r="U791"/>
  <c r="V791"/>
  <c r="W791"/>
  <c r="Y791"/>
  <c r="AB791"/>
  <c r="AC791"/>
  <c r="AD791"/>
  <c r="P792"/>
  <c r="T792"/>
  <c r="U792"/>
  <c r="V792"/>
  <c r="W792"/>
  <c r="Y792"/>
  <c r="AB792"/>
  <c r="AC792"/>
  <c r="AD792"/>
  <c r="P793"/>
  <c r="T793"/>
  <c r="U793"/>
  <c r="V793"/>
  <c r="W793"/>
  <c r="Y793"/>
  <c r="AB793"/>
  <c r="AC793"/>
  <c r="AD793"/>
  <c r="P794"/>
  <c r="T794"/>
  <c r="U794"/>
  <c r="V794"/>
  <c r="W794"/>
  <c r="Y794"/>
  <c r="AB794"/>
  <c r="AC794"/>
  <c r="AD794"/>
  <c r="P795"/>
  <c r="T795"/>
  <c r="U795"/>
  <c r="V795"/>
  <c r="W795"/>
  <c r="Y795"/>
  <c r="AB795"/>
  <c r="AC795"/>
  <c r="AD795"/>
  <c r="P796"/>
  <c r="T796"/>
  <c r="U796"/>
  <c r="V796"/>
  <c r="W796"/>
  <c r="Y796"/>
  <c r="AB796"/>
  <c r="AC796"/>
  <c r="AD796"/>
  <c r="P797"/>
  <c r="T797"/>
  <c r="U797"/>
  <c r="V797"/>
  <c r="W797"/>
  <c r="Y797"/>
  <c r="AB797"/>
  <c r="AC797"/>
  <c r="AD797"/>
  <c r="P798"/>
  <c r="T798"/>
  <c r="U798"/>
  <c r="V798"/>
  <c r="W798"/>
  <c r="Y798"/>
  <c r="AB798"/>
  <c r="AC798"/>
  <c r="AD798"/>
  <c r="P799"/>
  <c r="T799"/>
  <c r="U799"/>
  <c r="V799"/>
  <c r="W799"/>
  <c r="Y799"/>
  <c r="AB799"/>
  <c r="AC799"/>
  <c r="AD799"/>
  <c r="P800"/>
  <c r="T800"/>
  <c r="U800"/>
  <c r="V800"/>
  <c r="W800"/>
  <c r="Y800"/>
  <c r="AB800"/>
  <c r="AC800"/>
  <c r="AD800"/>
  <c r="P801"/>
  <c r="T801"/>
  <c r="U801"/>
  <c r="V801"/>
  <c r="W801"/>
  <c r="Y801"/>
  <c r="AB801"/>
  <c r="AC801"/>
  <c r="AD801"/>
  <c r="P802"/>
  <c r="T802"/>
  <c r="U802"/>
  <c r="V802"/>
  <c r="W802"/>
  <c r="Y802"/>
  <c r="AB802"/>
  <c r="AC802"/>
  <c r="AD802"/>
  <c r="P803"/>
  <c r="T803"/>
  <c r="U803"/>
  <c r="V803"/>
  <c r="W803"/>
  <c r="Y803"/>
  <c r="AB803"/>
  <c r="AC803"/>
  <c r="AD803"/>
  <c r="P804"/>
  <c r="T804"/>
  <c r="U804"/>
  <c r="V804"/>
  <c r="W804"/>
  <c r="Y804"/>
  <c r="AB804"/>
  <c r="AC804"/>
  <c r="AD804"/>
  <c r="P805"/>
  <c r="T805"/>
  <c r="U805"/>
  <c r="V805"/>
  <c r="W805"/>
  <c r="Y805"/>
  <c r="AB805"/>
  <c r="AC805"/>
  <c r="AD805"/>
  <c r="P816"/>
  <c r="T816"/>
  <c r="U816"/>
  <c r="V816"/>
  <c r="W816"/>
  <c r="Y816"/>
  <c r="AB816"/>
  <c r="AC816"/>
  <c r="AD816"/>
  <c r="P820"/>
  <c r="T820"/>
  <c r="U820"/>
  <c r="V820"/>
  <c r="W820"/>
  <c r="Y820"/>
  <c r="AB820"/>
  <c r="AC820"/>
  <c r="AD820"/>
  <c r="P821"/>
  <c r="T821"/>
  <c r="U821"/>
  <c r="V821"/>
  <c r="W821"/>
  <c r="Y821"/>
  <c r="AB821"/>
  <c r="AC821"/>
  <c r="AD821"/>
  <c r="P822"/>
  <c r="T822"/>
  <c r="U822"/>
  <c r="V822"/>
  <c r="W822"/>
  <c r="Y822"/>
  <c r="AB822"/>
  <c r="AC822"/>
  <c r="AD822"/>
  <c r="P823"/>
  <c r="T823"/>
  <c r="U823"/>
  <c r="V823"/>
  <c r="W823"/>
  <c r="Y823"/>
  <c r="AB823"/>
  <c r="AC823"/>
  <c r="AD823"/>
  <c r="P834"/>
  <c r="T834"/>
  <c r="U834"/>
  <c r="V834"/>
  <c r="W834"/>
  <c r="Y834"/>
  <c r="AB834"/>
  <c r="AC834"/>
  <c r="AD834"/>
  <c r="P838"/>
  <c r="T838"/>
  <c r="U838"/>
  <c r="V838"/>
  <c r="W838"/>
  <c r="Y838"/>
  <c r="AB838"/>
  <c r="AC838"/>
  <c r="AD838"/>
  <c r="P852"/>
  <c r="T852"/>
  <c r="U852"/>
  <c r="V852"/>
  <c r="W852"/>
  <c r="Y852"/>
  <c r="AB852"/>
  <c r="AC852"/>
  <c r="AD852"/>
  <c r="P854"/>
  <c r="T854"/>
  <c r="U854"/>
  <c r="V854"/>
  <c r="W854"/>
  <c r="Y854"/>
  <c r="AB854"/>
  <c r="AC854"/>
  <c r="AD854"/>
  <c r="P855"/>
  <c r="T855"/>
  <c r="U855"/>
  <c r="V855"/>
  <c r="W855"/>
  <c r="Y855"/>
  <c r="AB855"/>
  <c r="AC855"/>
  <c r="AD855"/>
  <c r="P856"/>
  <c r="T856"/>
  <c r="U856"/>
  <c r="V856"/>
  <c r="W856"/>
  <c r="Y856"/>
  <c r="AB856"/>
  <c r="AC856"/>
  <c r="AD856"/>
  <c r="P868"/>
  <c r="W868"/>
  <c r="Y868"/>
  <c r="AB868"/>
  <c r="AC868"/>
  <c r="AD868"/>
  <c r="P869"/>
  <c r="W869"/>
  <c r="Y869"/>
  <c r="AB869"/>
  <c r="AC869"/>
  <c r="AD869"/>
  <c r="P870"/>
  <c r="W870"/>
  <c r="Y870"/>
  <c r="AB870"/>
  <c r="AC870"/>
  <c r="AD870"/>
  <c r="P871"/>
  <c r="W871"/>
  <c r="Y871"/>
  <c r="AB871"/>
  <c r="AC871"/>
  <c r="AD871"/>
  <c r="P872"/>
  <c r="W872"/>
  <c r="Y872"/>
  <c r="AB872"/>
  <c r="AC872"/>
  <c r="AD872"/>
  <c r="P873"/>
  <c r="W873"/>
  <c r="Y873"/>
  <c r="AB873"/>
  <c r="AC873"/>
  <c r="AD873"/>
  <c r="P874"/>
  <c r="W874"/>
  <c r="Y874"/>
  <c r="AB874"/>
  <c r="AC874"/>
  <c r="AD874"/>
  <c r="P875"/>
  <c r="W875"/>
  <c r="Y875"/>
  <c r="AB875"/>
  <c r="AC875"/>
  <c r="AD875"/>
  <c r="P876"/>
  <c r="W876"/>
  <c r="Y876"/>
  <c r="AB876"/>
  <c r="AC876"/>
  <c r="AD876"/>
  <c r="P877"/>
  <c r="W877"/>
  <c r="Y877"/>
  <c r="AB877"/>
  <c r="AC877"/>
  <c r="AD877"/>
  <c r="P878"/>
  <c r="W878"/>
  <c r="Y878"/>
  <c r="AB878"/>
  <c r="AC878"/>
  <c r="AD878"/>
  <c r="P879"/>
  <c r="W879"/>
  <c r="Y879"/>
  <c r="AB879"/>
  <c r="AC879"/>
  <c r="AD879"/>
  <c r="P880"/>
  <c r="W880"/>
  <c r="Y880"/>
  <c r="AB880"/>
  <c r="AC880"/>
  <c r="AD880"/>
  <c r="P881"/>
  <c r="W881"/>
  <c r="Y881"/>
  <c r="AB881"/>
  <c r="AC881"/>
  <c r="AD881"/>
  <c r="P882"/>
  <c r="W882"/>
  <c r="Y882"/>
  <c r="AB882"/>
  <c r="AC882"/>
  <c r="AD882"/>
  <c r="P883"/>
  <c r="W883"/>
  <c r="Y883"/>
  <c r="AB883"/>
  <c r="AC883"/>
  <c r="AD883"/>
  <c r="P884"/>
  <c r="W884"/>
  <c r="Y884"/>
  <c r="AB884"/>
  <c r="AC884"/>
  <c r="AD884"/>
  <c r="P885"/>
  <c r="W885"/>
  <c r="Y885"/>
  <c r="AB885"/>
  <c r="AC885"/>
  <c r="AD885"/>
  <c r="P886"/>
  <c r="W886"/>
  <c r="Y886"/>
  <c r="AB886"/>
  <c r="AC886"/>
  <c r="AD886"/>
  <c r="P818"/>
  <c r="W818"/>
  <c r="Y818"/>
  <c r="AB818"/>
  <c r="AC818"/>
  <c r="AD818"/>
  <c r="P887"/>
  <c r="W887"/>
  <c r="Y887"/>
  <c r="AB887"/>
  <c r="AC887"/>
  <c r="AD887"/>
  <c r="P888"/>
  <c r="W888"/>
  <c r="Y888"/>
  <c r="AB888"/>
  <c r="AC888"/>
  <c r="AD888"/>
  <c r="P889"/>
  <c r="W889"/>
  <c r="Y889"/>
  <c r="AB889"/>
  <c r="AC889"/>
  <c r="AD889"/>
  <c r="P890"/>
  <c r="W890"/>
  <c r="Y890"/>
  <c r="AB890"/>
  <c r="AC890"/>
  <c r="AD890"/>
  <c r="P891"/>
  <c r="W891"/>
  <c r="Y891"/>
  <c r="AB891"/>
  <c r="AC891"/>
  <c r="AD891"/>
  <c r="P896"/>
  <c r="W896"/>
  <c r="Y896"/>
  <c r="AB896"/>
  <c r="AC896"/>
  <c r="AD896"/>
  <c r="P897"/>
  <c r="W897"/>
  <c r="Y897"/>
  <c r="AB897"/>
  <c r="AC897"/>
  <c r="AD897"/>
  <c r="P898"/>
  <c r="W898"/>
  <c r="Y898"/>
  <c r="AB898"/>
  <c r="AC898"/>
  <c r="AD898"/>
  <c r="P899"/>
  <c r="W899"/>
  <c r="Y899"/>
  <c r="AB899"/>
  <c r="AC899"/>
  <c r="AD899"/>
  <c r="P900"/>
  <c r="W900"/>
  <c r="Y900"/>
  <c r="AB900"/>
  <c r="AC900"/>
  <c r="AD900"/>
  <c r="P901"/>
  <c r="W901"/>
  <c r="Y901"/>
  <c r="AB901"/>
  <c r="AC901"/>
  <c r="AD901"/>
  <c r="P902"/>
  <c r="W902"/>
  <c r="Y902"/>
  <c r="AB902"/>
  <c r="AC902"/>
  <c r="AD902"/>
  <c r="P903"/>
  <c r="W903"/>
  <c r="Y903"/>
  <c r="AB903"/>
  <c r="AC903"/>
  <c r="AD903"/>
  <c r="P904"/>
  <c r="W904"/>
  <c r="Y904"/>
  <c r="AB904"/>
  <c r="AC904"/>
  <c r="AD904"/>
  <c r="P905"/>
  <c r="W905"/>
  <c r="Y905"/>
  <c r="AB905"/>
  <c r="AC905"/>
  <c r="AD905"/>
  <c r="P906"/>
  <c r="W906"/>
  <c r="Y906"/>
  <c r="AB906"/>
  <c r="AC906"/>
  <c r="AD906"/>
  <c r="P907"/>
  <c r="W907"/>
  <c r="Y907"/>
  <c r="AB907"/>
  <c r="AC907"/>
  <c r="AD907"/>
  <c r="P908"/>
  <c r="W908"/>
  <c r="Y908"/>
  <c r="AB908"/>
  <c r="AC908"/>
  <c r="AD908"/>
  <c r="P909"/>
  <c r="W909"/>
  <c r="Y909"/>
  <c r="AB909"/>
  <c r="AC909"/>
  <c r="AD909"/>
  <c r="P910"/>
  <c r="W910"/>
  <c r="Y910"/>
  <c r="AB910"/>
  <c r="AC910"/>
  <c r="AD910"/>
  <c r="P911"/>
  <c r="W911"/>
  <c r="Y911"/>
  <c r="AB911"/>
  <c r="AC911"/>
  <c r="AD911"/>
  <c r="P912"/>
  <c r="W912"/>
  <c r="Y912"/>
  <c r="AB912"/>
  <c r="AC912"/>
  <c r="AD912"/>
  <c r="P913"/>
  <c r="W913"/>
  <c r="Y913"/>
  <c r="AB913"/>
  <c r="AC913"/>
  <c r="AD913"/>
  <c r="P914"/>
  <c r="W914"/>
  <c r="Y914"/>
  <c r="AB914"/>
  <c r="AC914"/>
  <c r="AD914"/>
  <c r="P915"/>
  <c r="W915"/>
  <c r="Y915"/>
  <c r="AB915"/>
  <c r="AC915"/>
  <c r="AD915"/>
  <c r="P916"/>
  <c r="W916"/>
  <c r="Y916"/>
  <c r="AB916"/>
  <c r="AC916"/>
  <c r="AD916"/>
  <c r="P917"/>
  <c r="W917"/>
  <c r="Y917"/>
  <c r="AB917"/>
  <c r="AC917"/>
  <c r="AD917"/>
  <c r="P918"/>
  <c r="W918"/>
  <c r="Y918"/>
  <c r="AB918"/>
  <c r="AC918"/>
  <c r="AD918"/>
  <c r="P829"/>
  <c r="W829"/>
  <c r="Y829"/>
  <c r="AB829"/>
  <c r="AC829"/>
  <c r="AD829"/>
  <c r="P919"/>
  <c r="W919"/>
  <c r="Y919"/>
  <c r="AB919"/>
  <c r="AC919"/>
  <c r="AD919"/>
  <c r="P920"/>
  <c r="W920"/>
  <c r="Y920"/>
  <c r="AB920"/>
  <c r="AC920"/>
  <c r="AD920"/>
  <c r="P921"/>
  <c r="W921"/>
  <c r="Y921"/>
  <c r="AB921"/>
  <c r="AC921"/>
  <c r="AD921"/>
  <c r="P922"/>
  <c r="W922"/>
  <c r="Y922"/>
  <c r="AB922"/>
  <c r="AC922"/>
  <c r="AD922"/>
  <c r="P923"/>
  <c r="W923"/>
  <c r="Y923"/>
  <c r="AB923"/>
  <c r="AC923"/>
  <c r="AD923"/>
  <c r="P929"/>
  <c r="W929"/>
  <c r="Y929"/>
  <c r="AB929"/>
  <c r="AC929"/>
  <c r="AD929"/>
  <c r="P933"/>
  <c r="T933"/>
  <c r="U933"/>
  <c r="V933"/>
  <c r="W933"/>
  <c r="Y933"/>
  <c r="AB933"/>
  <c r="AC933"/>
  <c r="AD933"/>
  <c r="P935"/>
  <c r="T935"/>
  <c r="U935"/>
  <c r="V935"/>
  <c r="W935"/>
  <c r="Y935"/>
  <c r="AB935"/>
  <c r="AC935"/>
  <c r="AD935"/>
  <c r="P936"/>
  <c r="T936"/>
  <c r="U936"/>
  <c r="V936"/>
  <c r="W936"/>
  <c r="Y936"/>
  <c r="AB936"/>
  <c r="AC936"/>
  <c r="AD936"/>
  <c r="P937"/>
  <c r="T937"/>
  <c r="U937"/>
  <c r="V937"/>
  <c r="W937"/>
  <c r="Y937"/>
  <c r="AB937"/>
  <c r="AC937"/>
  <c r="AD937"/>
  <c r="P939"/>
  <c r="T939"/>
  <c r="U939"/>
  <c r="V939"/>
  <c r="W939"/>
  <c r="Y939"/>
  <c r="AB939"/>
  <c r="AC939"/>
  <c r="AD939"/>
  <c r="P940"/>
  <c r="T940"/>
  <c r="U940"/>
  <c r="V940"/>
  <c r="W940"/>
  <c r="Y940"/>
  <c r="AB940"/>
  <c r="AC940"/>
  <c r="AD940"/>
  <c r="P941"/>
  <c r="T941"/>
  <c r="U941"/>
  <c r="V941"/>
  <c r="W941"/>
  <c r="Y941"/>
  <c r="AB941"/>
  <c r="AC941"/>
  <c r="AD941"/>
  <c r="P942"/>
  <c r="T942"/>
  <c r="U942"/>
  <c r="V942"/>
  <c r="W942"/>
  <c r="Y942"/>
  <c r="AB942"/>
  <c r="AC942"/>
  <c r="AD942"/>
  <c r="P951"/>
  <c r="T951"/>
  <c r="U951"/>
  <c r="V951"/>
  <c r="W951"/>
  <c r="Y951"/>
  <c r="AB951"/>
  <c r="AC951"/>
  <c r="AD951"/>
  <c r="P952"/>
  <c r="T952"/>
  <c r="U952"/>
  <c r="V952"/>
  <c r="W952"/>
  <c r="Y952"/>
  <c r="AB952"/>
  <c r="AC952"/>
  <c r="AD952"/>
  <c r="P955"/>
  <c r="T955"/>
  <c r="U955"/>
  <c r="V955"/>
  <c r="W955"/>
  <c r="Y955"/>
  <c r="AB955"/>
  <c r="AC955"/>
  <c r="AD955"/>
  <c r="P956"/>
  <c r="T956"/>
  <c r="U956"/>
  <c r="V956"/>
  <c r="W956"/>
  <c r="Y956"/>
  <c r="AB956"/>
  <c r="AC956"/>
  <c r="AD956"/>
  <c r="P968"/>
  <c r="T968"/>
  <c r="U968"/>
  <c r="V968"/>
  <c r="W968"/>
  <c r="Y968"/>
  <c r="AB968"/>
  <c r="AC968"/>
  <c r="AD968"/>
  <c r="P969"/>
  <c r="T969"/>
  <c r="U969"/>
  <c r="V969"/>
  <c r="W969"/>
  <c r="Y969"/>
  <c r="AB969"/>
  <c r="AC969"/>
  <c r="AD969"/>
  <c r="P970"/>
  <c r="T970"/>
  <c r="U970"/>
  <c r="V970"/>
  <c r="W970"/>
  <c r="Y970"/>
  <c r="AB970"/>
  <c r="AC970"/>
  <c r="AD970"/>
  <c r="P974"/>
  <c r="T974"/>
  <c r="U974"/>
  <c r="V974"/>
  <c r="W974"/>
  <c r="Y974"/>
  <c r="AB974"/>
  <c r="AC974"/>
  <c r="AD974"/>
  <c r="P975"/>
  <c r="T975"/>
  <c r="U975"/>
  <c r="V975"/>
  <c r="W975"/>
  <c r="Y975"/>
  <c r="AB975"/>
  <c r="AC975"/>
  <c r="AD975"/>
  <c r="P985"/>
  <c r="T985"/>
  <c r="U985"/>
  <c r="V985"/>
  <c r="W985"/>
  <c r="Y985"/>
  <c r="AB985"/>
  <c r="AC985"/>
  <c r="AD985"/>
  <c r="P992"/>
  <c r="T992"/>
  <c r="U992"/>
  <c r="V992"/>
  <c r="W992"/>
  <c r="Y992"/>
  <c r="AB992"/>
  <c r="AC992"/>
  <c r="AD992"/>
  <c r="P993"/>
  <c r="T993"/>
  <c r="U993"/>
  <c r="V993"/>
  <c r="W993"/>
  <c r="Y993"/>
  <c r="AB993"/>
  <c r="AC993"/>
  <c r="AD993"/>
  <c r="P996"/>
  <c r="W996"/>
  <c r="Y996"/>
  <c r="AB996"/>
  <c r="AC996"/>
  <c r="AD996"/>
  <c r="P1003"/>
  <c r="W1003"/>
  <c r="Y1003"/>
  <c r="AB1003"/>
  <c r="AC1003"/>
  <c r="AD1003"/>
  <c r="P1004"/>
  <c r="W1004"/>
  <c r="Y1004"/>
  <c r="AB1004"/>
  <c r="AC1004"/>
  <c r="AD1004"/>
  <c r="P1005"/>
  <c r="W1005"/>
  <c r="Y1005"/>
  <c r="AB1005"/>
  <c r="AC1005"/>
  <c r="AD1005"/>
  <c r="P1006"/>
  <c r="W1006"/>
  <c r="Y1006"/>
  <c r="AB1006"/>
  <c r="AC1006"/>
  <c r="AD1006"/>
  <c r="P1008"/>
  <c r="W1008"/>
  <c r="Y1008"/>
  <c r="AB1008"/>
  <c r="AC1008"/>
  <c r="AD1008"/>
  <c r="P1009"/>
  <c r="W1009"/>
  <c r="Y1009"/>
  <c r="AB1009"/>
  <c r="AC1009"/>
  <c r="AD1009"/>
  <c r="P1148"/>
  <c r="T1148"/>
  <c r="U1148"/>
  <c r="V1148"/>
  <c r="W1148"/>
  <c r="Y1148"/>
  <c r="AB1148"/>
  <c r="AC1148"/>
  <c r="AD1148"/>
  <c r="P1149"/>
  <c r="T1149"/>
  <c r="U1149"/>
  <c r="V1149"/>
  <c r="W1149"/>
  <c r="Y1149"/>
  <c r="AB1149"/>
  <c r="AC1149"/>
  <c r="AD1149"/>
  <c r="P1150"/>
  <c r="T1150"/>
  <c r="U1150"/>
  <c r="V1150"/>
  <c r="W1150"/>
  <c r="Y1150"/>
  <c r="AB1150"/>
  <c r="AC1150"/>
  <c r="AD1150"/>
  <c r="P1151"/>
  <c r="T1151"/>
  <c r="U1151"/>
  <c r="V1151"/>
  <c r="W1151"/>
  <c r="Y1151"/>
  <c r="AB1151"/>
  <c r="AC1151"/>
  <c r="AD1151"/>
  <c r="P1152"/>
  <c r="T1152"/>
  <c r="U1152"/>
  <c r="V1152"/>
  <c r="W1152"/>
  <c r="Y1152"/>
  <c r="AB1152"/>
  <c r="AC1152"/>
  <c r="AD1152"/>
  <c r="P1153"/>
  <c r="T1153"/>
  <c r="U1153"/>
  <c r="V1153"/>
  <c r="W1153"/>
  <c r="Y1153"/>
  <c r="AB1153"/>
  <c r="AC1153"/>
  <c r="AD1153"/>
  <c r="P1154"/>
  <c r="T1154"/>
  <c r="U1154"/>
  <c r="V1154"/>
  <c r="W1154"/>
  <c r="Y1154"/>
  <c r="AB1154"/>
  <c r="AC1154"/>
  <c r="AD1154"/>
  <c r="P1155"/>
  <c r="T1155"/>
  <c r="U1155"/>
  <c r="V1155"/>
  <c r="W1155"/>
  <c r="Y1155"/>
  <c r="AB1155"/>
  <c r="AC1155"/>
  <c r="AD1155"/>
  <c r="P1156"/>
  <c r="T1156"/>
  <c r="U1156"/>
  <c r="V1156"/>
  <c r="W1156"/>
  <c r="Y1156"/>
  <c r="AB1156"/>
  <c r="AC1156"/>
  <c r="AD1156"/>
  <c r="P1157"/>
  <c r="T1157"/>
  <c r="U1157"/>
  <c r="V1157"/>
  <c r="W1157"/>
  <c r="Y1157"/>
  <c r="AB1157"/>
  <c r="AC1157"/>
  <c r="AD1157"/>
  <c r="P1158"/>
  <c r="T1158"/>
  <c r="U1158"/>
  <c r="V1158"/>
  <c r="W1158"/>
  <c r="Y1158"/>
  <c r="AB1158"/>
  <c r="AC1158"/>
  <c r="AD1158"/>
  <c r="P1159"/>
  <c r="T1159"/>
  <c r="U1159"/>
  <c r="V1159"/>
  <c r="W1159"/>
  <c r="Y1159"/>
  <c r="AB1159"/>
  <c r="AC1159"/>
  <c r="AD1159"/>
  <c r="P1160"/>
  <c r="T1160"/>
  <c r="U1160"/>
  <c r="V1160"/>
  <c r="W1160"/>
  <c r="Y1160"/>
  <c r="AB1160"/>
  <c r="AC1160"/>
  <c r="AD1160"/>
  <c r="P1161"/>
  <c r="T1161"/>
  <c r="U1161"/>
  <c r="V1161"/>
  <c r="W1161"/>
  <c r="Y1161"/>
  <c r="AB1161"/>
  <c r="AC1161"/>
  <c r="AD1161"/>
  <c r="P1162"/>
  <c r="T1162"/>
  <c r="U1162"/>
  <c r="V1162"/>
  <c r="W1162"/>
  <c r="Y1162"/>
  <c r="AB1162"/>
  <c r="AC1162"/>
  <c r="AD1162"/>
  <c r="P1163"/>
  <c r="T1163"/>
  <c r="U1163"/>
  <c r="V1163"/>
  <c r="W1163"/>
  <c r="Y1163"/>
  <c r="AB1163"/>
  <c r="AC1163"/>
  <c r="AD1163"/>
  <c r="P1164"/>
  <c r="T1164"/>
  <c r="U1164"/>
  <c r="V1164"/>
  <c r="W1164"/>
  <c r="Y1164"/>
  <c r="AB1164"/>
  <c r="AC1164"/>
  <c r="AD1164"/>
  <c r="P1165"/>
  <c r="T1165"/>
  <c r="U1165"/>
  <c r="V1165"/>
  <c r="W1165"/>
  <c r="Y1165"/>
  <c r="AB1165"/>
  <c r="AC1165"/>
  <c r="AD1165"/>
  <c r="P1166"/>
  <c r="T1166"/>
  <c r="U1166"/>
  <c r="V1166"/>
  <c r="W1166"/>
  <c r="Y1166"/>
  <c r="AB1166"/>
  <c r="AC1166"/>
  <c r="AD1166"/>
  <c r="K801"/>
  <c r="M801" s="1"/>
  <c r="B802"/>
  <c r="Q802" s="1"/>
  <c r="B803"/>
  <c r="Q803" s="1"/>
  <c r="B804"/>
  <c r="S804" s="1"/>
  <c r="B805"/>
  <c r="Q805" s="1"/>
  <c r="E801"/>
  <c r="B801"/>
  <c r="C24"/>
  <c r="AD24" s="1"/>
  <c r="C23"/>
  <c r="C22"/>
  <c r="AD22" s="1"/>
  <c r="E750"/>
  <c r="E800"/>
  <c r="B800"/>
  <c r="E799"/>
  <c r="B799"/>
  <c r="M798"/>
  <c r="M800" s="1"/>
  <c r="E798"/>
  <c r="B798"/>
  <c r="M797"/>
  <c r="M799" s="1"/>
  <c r="E797"/>
  <c r="B797"/>
  <c r="M796"/>
  <c r="E796"/>
  <c r="B796"/>
  <c r="M795"/>
  <c r="E795"/>
  <c r="B795"/>
  <c r="M794"/>
  <c r="E794"/>
  <c r="B794"/>
  <c r="M793"/>
  <c r="E793"/>
  <c r="B793"/>
  <c r="M792"/>
  <c r="E792"/>
  <c r="B792"/>
  <c r="M791"/>
  <c r="E791"/>
  <c r="B791"/>
  <c r="M790"/>
  <c r="E790"/>
  <c r="B790"/>
  <c r="M789"/>
  <c r="E789"/>
  <c r="B789"/>
  <c r="E788"/>
  <c r="B788"/>
  <c r="E787"/>
  <c r="B787"/>
  <c r="E786"/>
  <c r="B786"/>
  <c r="E785"/>
  <c r="B785"/>
  <c r="M784"/>
  <c r="M786" s="1"/>
  <c r="E784"/>
  <c r="B784"/>
  <c r="M783"/>
  <c r="M785" s="1"/>
  <c r="E783"/>
  <c r="B783"/>
  <c r="M782"/>
  <c r="E782"/>
  <c r="B782"/>
  <c r="M781"/>
  <c r="E781"/>
  <c r="B781"/>
  <c r="M780"/>
  <c r="E780"/>
  <c r="B780"/>
  <c r="M779"/>
  <c r="E779"/>
  <c r="B779"/>
  <c r="M778"/>
  <c r="E778"/>
  <c r="B778"/>
  <c r="M777"/>
  <c r="E777"/>
  <c r="B777"/>
  <c r="M776"/>
  <c r="E776"/>
  <c r="B776"/>
  <c r="M775"/>
  <c r="E775"/>
  <c r="B775"/>
  <c r="E774"/>
  <c r="B774"/>
  <c r="E773"/>
  <c r="B773"/>
  <c r="E772"/>
  <c r="B772"/>
  <c r="E771"/>
  <c r="B771"/>
  <c r="A771" s="1"/>
  <c r="M770"/>
  <c r="M772" s="1"/>
  <c r="E770"/>
  <c r="B770"/>
  <c r="M769"/>
  <c r="M771" s="1"/>
  <c r="E769"/>
  <c r="B769"/>
  <c r="M768"/>
  <c r="E768"/>
  <c r="B768"/>
  <c r="M767"/>
  <c r="E767"/>
  <c r="B767"/>
  <c r="M766"/>
  <c r="E766"/>
  <c r="B766"/>
  <c r="M765"/>
  <c r="E765"/>
  <c r="B765"/>
  <c r="M764"/>
  <c r="E764"/>
  <c r="B764"/>
  <c r="M763"/>
  <c r="E763"/>
  <c r="B763"/>
  <c r="M762"/>
  <c r="E762"/>
  <c r="B762"/>
  <c r="M761"/>
  <c r="E761"/>
  <c r="B761"/>
  <c r="E760"/>
  <c r="B760"/>
  <c r="E759"/>
  <c r="B759"/>
  <c r="E758"/>
  <c r="B758"/>
  <c r="E757"/>
  <c r="B757"/>
  <c r="E756"/>
  <c r="B756"/>
  <c r="E755"/>
  <c r="B755"/>
  <c r="E754"/>
  <c r="B754"/>
  <c r="E753"/>
  <c r="B753"/>
  <c r="E752"/>
  <c r="B752"/>
  <c r="E751"/>
  <c r="B751"/>
  <c r="B750"/>
  <c r="Q493" l="1"/>
  <c r="Q564"/>
  <c r="Q492"/>
  <c r="Q487"/>
  <c r="Q486"/>
  <c r="Q563"/>
  <c r="Q562"/>
  <c r="Q561"/>
  <c r="Q560"/>
  <c r="Q565"/>
  <c r="S561"/>
  <c r="S493"/>
  <c r="S563"/>
  <c r="S487"/>
  <c r="S492"/>
  <c r="S486"/>
  <c r="S562"/>
  <c r="S560"/>
  <c r="S565"/>
  <c r="S564"/>
  <c r="R565"/>
  <c r="R564"/>
  <c r="R563"/>
  <c r="R562"/>
  <c r="R561"/>
  <c r="R560"/>
  <c r="R487"/>
  <c r="R486"/>
  <c r="R493"/>
  <c r="R492"/>
  <c r="S782"/>
  <c r="Q782"/>
  <c r="R782"/>
  <c r="A790"/>
  <c r="S790"/>
  <c r="Q790"/>
  <c r="R790"/>
  <c r="A794"/>
  <c r="S794"/>
  <c r="Q794"/>
  <c r="R794"/>
  <c r="A798"/>
  <c r="S798"/>
  <c r="Q798"/>
  <c r="R798"/>
  <c r="Q753"/>
  <c r="R753"/>
  <c r="S753"/>
  <c r="Q761"/>
  <c r="R761"/>
  <c r="S761"/>
  <c r="Q765"/>
  <c r="R765"/>
  <c r="S765"/>
  <c r="S764"/>
  <c r="Q764"/>
  <c r="R764"/>
  <c r="S768"/>
  <c r="Q768"/>
  <c r="R768"/>
  <c r="S772"/>
  <c r="Q772"/>
  <c r="R772"/>
  <c r="S774"/>
  <c r="Q774"/>
  <c r="R774"/>
  <c r="Q777"/>
  <c r="R777"/>
  <c r="S777"/>
  <c r="Q781"/>
  <c r="R781"/>
  <c r="S781"/>
  <c r="Q785"/>
  <c r="R785"/>
  <c r="S785"/>
  <c r="Q787"/>
  <c r="R787"/>
  <c r="S787"/>
  <c r="Q789"/>
  <c r="R789"/>
  <c r="S789"/>
  <c r="Q793"/>
  <c r="R793"/>
  <c r="S793"/>
  <c r="Q797"/>
  <c r="R797"/>
  <c r="S797"/>
  <c r="S800"/>
  <c r="Q800"/>
  <c r="R800"/>
  <c r="B23"/>
  <c r="A23" s="1"/>
  <c r="AD23"/>
  <c r="Q757"/>
  <c r="R757"/>
  <c r="S757"/>
  <c r="S754"/>
  <c r="Q754"/>
  <c r="R754"/>
  <c r="S758"/>
  <c r="Q758"/>
  <c r="R758"/>
  <c r="S760"/>
  <c r="Q760"/>
  <c r="R760"/>
  <c r="Q763"/>
  <c r="R763"/>
  <c r="S763"/>
  <c r="Q767"/>
  <c r="R767"/>
  <c r="S767"/>
  <c r="A776"/>
  <c r="S776"/>
  <c r="Q776"/>
  <c r="R776"/>
  <c r="A780"/>
  <c r="S780"/>
  <c r="Q780"/>
  <c r="R780"/>
  <c r="A784"/>
  <c r="S784"/>
  <c r="Q784"/>
  <c r="R784"/>
  <c r="S792"/>
  <c r="Q792"/>
  <c r="R792"/>
  <c r="S796"/>
  <c r="Q796"/>
  <c r="R796"/>
  <c r="Q751"/>
  <c r="R751"/>
  <c r="S751"/>
  <c r="Q755"/>
  <c r="R755"/>
  <c r="S755"/>
  <c r="Q759"/>
  <c r="R759"/>
  <c r="S759"/>
  <c r="Q769"/>
  <c r="R769"/>
  <c r="S769"/>
  <c r="S778"/>
  <c r="Q778"/>
  <c r="R778"/>
  <c r="S752"/>
  <c r="Q752"/>
  <c r="R752"/>
  <c r="S756"/>
  <c r="Q756"/>
  <c r="R756"/>
  <c r="S750"/>
  <c r="Q750"/>
  <c r="R750"/>
  <c r="A762"/>
  <c r="S762"/>
  <c r="Q762"/>
  <c r="R762"/>
  <c r="A766"/>
  <c r="S766"/>
  <c r="Q766"/>
  <c r="R766"/>
  <c r="A770"/>
  <c r="S770"/>
  <c r="Q770"/>
  <c r="R770"/>
  <c r="Q771"/>
  <c r="R771"/>
  <c r="S771"/>
  <c r="Q773"/>
  <c r="R773"/>
  <c r="S773"/>
  <c r="Q775"/>
  <c r="R775"/>
  <c r="S775"/>
  <c r="Q779"/>
  <c r="R779"/>
  <c r="S779"/>
  <c r="Q783"/>
  <c r="R783"/>
  <c r="S783"/>
  <c r="S786"/>
  <c r="Q786"/>
  <c r="R786"/>
  <c r="S788"/>
  <c r="Q788"/>
  <c r="R788"/>
  <c r="Q791"/>
  <c r="R791"/>
  <c r="S791"/>
  <c r="Q795"/>
  <c r="R795"/>
  <c r="S795"/>
  <c r="Q799"/>
  <c r="R799"/>
  <c r="S799"/>
  <c r="Q801"/>
  <c r="R801"/>
  <c r="S801"/>
  <c r="S805"/>
  <c r="R805"/>
  <c r="A802"/>
  <c r="R804"/>
  <c r="Q804"/>
  <c r="S803"/>
  <c r="R803"/>
  <c r="S802"/>
  <c r="R802"/>
  <c r="A801"/>
  <c r="A767"/>
  <c r="A775"/>
  <c r="A800"/>
  <c r="A751"/>
  <c r="B22"/>
  <c r="A757"/>
  <c r="A763"/>
  <c r="A761"/>
  <c r="A777"/>
  <c r="B24"/>
  <c r="A752"/>
  <c r="A787"/>
  <c r="A789"/>
  <c r="A756"/>
  <c r="A758"/>
  <c r="A769"/>
  <c r="A779"/>
  <c r="A791"/>
  <c r="A793"/>
  <c r="A797"/>
  <c r="A788"/>
  <c r="A795"/>
  <c r="A774"/>
  <c r="A781"/>
  <c r="A783"/>
  <c r="A785"/>
  <c r="A773"/>
  <c r="A760"/>
  <c r="A765"/>
  <c r="A759"/>
  <c r="A755"/>
  <c r="A754"/>
  <c r="A753"/>
  <c r="A750"/>
  <c r="A764"/>
  <c r="A768"/>
  <c r="A772"/>
  <c r="A778"/>
  <c r="A782"/>
  <c r="A786"/>
  <c r="A792"/>
  <c r="A796"/>
  <c r="A799"/>
  <c r="A70" i="60"/>
  <c r="D70"/>
  <c r="A71"/>
  <c r="D71"/>
  <c r="G71" s="1"/>
  <c r="M510" i="34"/>
  <c r="C568"/>
  <c r="AD568" s="1"/>
  <c r="C749"/>
  <c r="AD749" s="1"/>
  <c r="C748"/>
  <c r="AD748" s="1"/>
  <c r="C747"/>
  <c r="AD747" s="1"/>
  <c r="C746"/>
  <c r="AD746" s="1"/>
  <c r="C745"/>
  <c r="AD745" s="1"/>
  <c r="B675"/>
  <c r="E675"/>
  <c r="B676"/>
  <c r="E676"/>
  <c r="B673"/>
  <c r="E673"/>
  <c r="B674"/>
  <c r="E674"/>
  <c r="A675" l="1"/>
  <c r="S675"/>
  <c r="Q675"/>
  <c r="R675"/>
  <c r="S24"/>
  <c r="Q24"/>
  <c r="R24"/>
  <c r="A673"/>
  <c r="S673"/>
  <c r="Q673"/>
  <c r="R673"/>
  <c r="S22"/>
  <c r="Q22"/>
  <c r="R22"/>
  <c r="A674"/>
  <c r="Q674"/>
  <c r="R674"/>
  <c r="S674"/>
  <c r="A676"/>
  <c r="Q676"/>
  <c r="R676"/>
  <c r="S676"/>
  <c r="A22"/>
  <c r="Q23"/>
  <c r="R23"/>
  <c r="S23"/>
  <c r="A24"/>
  <c r="G70" i="60"/>
  <c r="B746" i="34"/>
  <c r="B748"/>
  <c r="B745"/>
  <c r="B747"/>
  <c r="B749"/>
  <c r="E730"/>
  <c r="B730"/>
  <c r="E68" i="60"/>
  <c r="D68"/>
  <c r="D69"/>
  <c r="N50"/>
  <c r="M150" i="34"/>
  <c r="E150"/>
  <c r="B150"/>
  <c r="E90"/>
  <c r="M90"/>
  <c r="B90"/>
  <c r="C196"/>
  <c r="AD196" s="1"/>
  <c r="C197"/>
  <c r="C198"/>
  <c r="AD198" s="1"/>
  <c r="C199"/>
  <c r="AD199" s="1"/>
  <c r="C200"/>
  <c r="AD200" s="1"/>
  <c r="C201"/>
  <c r="C202"/>
  <c r="AD202" s="1"/>
  <c r="M202"/>
  <c r="M201"/>
  <c r="M200"/>
  <c r="M199"/>
  <c r="M198"/>
  <c r="M197"/>
  <c r="M196"/>
  <c r="M139"/>
  <c r="E140"/>
  <c r="E672"/>
  <c r="E139"/>
  <c r="A50" i="60"/>
  <c r="D49"/>
  <c r="G49" s="1"/>
  <c r="M148" i="34"/>
  <c r="E148"/>
  <c r="B148"/>
  <c r="E142"/>
  <c r="E143"/>
  <c r="E144"/>
  <c r="E145"/>
  <c r="E146"/>
  <c r="E147"/>
  <c r="E149"/>
  <c r="E141"/>
  <c r="M149"/>
  <c r="B149"/>
  <c r="M147"/>
  <c r="B147"/>
  <c r="M146"/>
  <c r="M145"/>
  <c r="B145"/>
  <c r="M144"/>
  <c r="B144"/>
  <c r="M143"/>
  <c r="B143"/>
  <c r="M142"/>
  <c r="M141"/>
  <c r="B141"/>
  <c r="M91"/>
  <c r="C91"/>
  <c r="AD91" s="1"/>
  <c r="Q141" l="1"/>
  <c r="R141"/>
  <c r="S141"/>
  <c r="R144"/>
  <c r="S144"/>
  <c r="Q144"/>
  <c r="R148"/>
  <c r="S148"/>
  <c r="Q148"/>
  <c r="S90"/>
  <c r="Q90"/>
  <c r="R90"/>
  <c r="Q749"/>
  <c r="R749"/>
  <c r="S749"/>
  <c r="Q143"/>
  <c r="R143"/>
  <c r="S143"/>
  <c r="Q145"/>
  <c r="R145"/>
  <c r="S145"/>
  <c r="B196"/>
  <c r="Q747"/>
  <c r="R747"/>
  <c r="S747"/>
  <c r="B201"/>
  <c r="AD201"/>
  <c r="B197"/>
  <c r="A197" s="1"/>
  <c r="AD197"/>
  <c r="S730"/>
  <c r="Q730"/>
  <c r="R730"/>
  <c r="Q745"/>
  <c r="R745"/>
  <c r="S745"/>
  <c r="R150"/>
  <c r="S150"/>
  <c r="Q150"/>
  <c r="S748"/>
  <c r="Q748"/>
  <c r="R748"/>
  <c r="Q149"/>
  <c r="S149"/>
  <c r="R149"/>
  <c r="Q147"/>
  <c r="R147"/>
  <c r="S147"/>
  <c r="S746"/>
  <c r="Q746"/>
  <c r="R746"/>
  <c r="B198"/>
  <c r="B200"/>
  <c r="A747"/>
  <c r="A745"/>
  <c r="A748"/>
  <c r="A749"/>
  <c r="A746"/>
  <c r="A730"/>
  <c r="G69" i="60"/>
  <c r="A150" i="34"/>
  <c r="A90"/>
  <c r="A201"/>
  <c r="B199"/>
  <c r="B202"/>
  <c r="B91"/>
  <c r="A148"/>
  <c r="A144"/>
  <c r="A147"/>
  <c r="A143"/>
  <c r="A141"/>
  <c r="B142"/>
  <c r="A145"/>
  <c r="B146"/>
  <c r="A149"/>
  <c r="B138"/>
  <c r="B137"/>
  <c r="B133"/>
  <c r="B134"/>
  <c r="R146" l="1"/>
  <c r="S146"/>
  <c r="Q146"/>
  <c r="Q91"/>
  <c r="R91"/>
  <c r="S91"/>
  <c r="Q198"/>
  <c r="R198"/>
  <c r="S198"/>
  <c r="R138"/>
  <c r="S138"/>
  <c r="Q138"/>
  <c r="S199"/>
  <c r="Q199"/>
  <c r="R199"/>
  <c r="A134"/>
  <c r="R134"/>
  <c r="S134"/>
  <c r="Q134"/>
  <c r="A198"/>
  <c r="A200"/>
  <c r="Q200"/>
  <c r="R200"/>
  <c r="S200"/>
  <c r="S197"/>
  <c r="Q197"/>
  <c r="R197"/>
  <c r="A133"/>
  <c r="Q133"/>
  <c r="R133"/>
  <c r="S133"/>
  <c r="Q137"/>
  <c r="R137"/>
  <c r="S137"/>
  <c r="A202"/>
  <c r="Q202"/>
  <c r="R202"/>
  <c r="S202"/>
  <c r="S201"/>
  <c r="Q201"/>
  <c r="R201"/>
  <c r="A196"/>
  <c r="Q196"/>
  <c r="R196"/>
  <c r="S196"/>
  <c r="R142"/>
  <c r="S142"/>
  <c r="Q142"/>
  <c r="A199"/>
  <c r="A91"/>
  <c r="A146"/>
  <c r="A142"/>
  <c r="A137"/>
  <c r="A138"/>
  <c r="J42" i="69"/>
  <c r="A4"/>
  <c r="B482" i="34" l="1"/>
  <c r="B483"/>
  <c r="B484"/>
  <c r="B485"/>
  <c r="B490"/>
  <c r="B494"/>
  <c r="B495"/>
  <c r="B496"/>
  <c r="B497"/>
  <c r="B498"/>
  <c r="B499"/>
  <c r="B500"/>
  <c r="B501"/>
  <c r="B502"/>
  <c r="B503"/>
  <c r="B504"/>
  <c r="B505"/>
  <c r="B506"/>
  <c r="B507"/>
  <c r="B510"/>
  <c r="B512"/>
  <c r="B514"/>
  <c r="B515"/>
  <c r="B516"/>
  <c r="B517"/>
  <c r="B519"/>
  <c r="B520"/>
  <c r="B521"/>
  <c r="B522"/>
  <c r="B523"/>
  <c r="B518"/>
  <c r="B524"/>
  <c r="B525"/>
  <c r="B526"/>
  <c r="B527"/>
  <c r="B528"/>
  <c r="B529"/>
  <c r="B530"/>
  <c r="B531"/>
  <c r="B532"/>
  <c r="B533"/>
  <c r="B534"/>
  <c r="B536"/>
  <c r="B537"/>
  <c r="B538"/>
  <c r="B539"/>
  <c r="B540"/>
  <c r="B541"/>
  <c r="B542"/>
  <c r="B535"/>
  <c r="B543"/>
  <c r="B544"/>
  <c r="B545"/>
  <c r="B546"/>
  <c r="B547"/>
  <c r="B549"/>
  <c r="B550"/>
  <c r="B548"/>
  <c r="B551"/>
  <c r="B552"/>
  <c r="B553"/>
  <c r="B554"/>
  <c r="B555"/>
  <c r="B556"/>
  <c r="B557"/>
  <c r="B558"/>
  <c r="B559"/>
  <c r="B566"/>
  <c r="B567"/>
  <c r="B605"/>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6"/>
  <c r="B607"/>
  <c r="B608"/>
  <c r="B609"/>
  <c r="B610"/>
  <c r="B611"/>
  <c r="B612"/>
  <c r="B613"/>
  <c r="B614"/>
  <c r="B615"/>
  <c r="B616"/>
  <c r="B617"/>
  <c r="B618"/>
  <c r="B619"/>
  <c r="B620"/>
  <c r="B621"/>
  <c r="B622"/>
  <c r="B623"/>
  <c r="B624"/>
  <c r="B625"/>
  <c r="B626"/>
  <c r="B627"/>
  <c r="B628"/>
  <c r="B629"/>
  <c r="B630"/>
  <c r="B631"/>
  <c r="B632"/>
  <c r="B633"/>
  <c r="B634"/>
  <c r="B635"/>
  <c r="B636"/>
  <c r="B638"/>
  <c r="B639"/>
  <c r="B640"/>
  <c r="B641"/>
  <c r="B642"/>
  <c r="B643"/>
  <c r="B644"/>
  <c r="B645"/>
  <c r="B646"/>
  <c r="B647"/>
  <c r="B648"/>
  <c r="B649"/>
  <c r="B650"/>
  <c r="B651"/>
  <c r="B652"/>
  <c r="B653"/>
  <c r="B654"/>
  <c r="B655"/>
  <c r="B656"/>
  <c r="B657"/>
  <c r="B658"/>
  <c r="B659"/>
  <c r="B661"/>
  <c r="B662"/>
  <c r="B663"/>
  <c r="B664"/>
  <c r="B665"/>
  <c r="B666"/>
  <c r="B667"/>
  <c r="B668"/>
  <c r="B669"/>
  <c r="B670"/>
  <c r="B671"/>
  <c r="B677"/>
  <c r="B139"/>
  <c r="B140"/>
  <c r="B672"/>
  <c r="A803"/>
  <c r="A804"/>
  <c r="A805"/>
  <c r="B816"/>
  <c r="M64"/>
  <c r="E75"/>
  <c r="E74"/>
  <c r="M73"/>
  <c r="M75" s="1"/>
  <c r="E73"/>
  <c r="M72"/>
  <c r="M74" s="1"/>
  <c r="E72"/>
  <c r="M71"/>
  <c r="E71"/>
  <c r="M70"/>
  <c r="E70"/>
  <c r="M69"/>
  <c r="E69"/>
  <c r="M68"/>
  <c r="E68"/>
  <c r="M67"/>
  <c r="E67"/>
  <c r="M66"/>
  <c r="E66"/>
  <c r="M65"/>
  <c r="E65"/>
  <c r="E64"/>
  <c r="E63"/>
  <c r="E62"/>
  <c r="E61"/>
  <c r="E60"/>
  <c r="M59"/>
  <c r="M61" s="1"/>
  <c r="E59"/>
  <c r="M58"/>
  <c r="M60" s="1"/>
  <c r="E58"/>
  <c r="M57"/>
  <c r="E57"/>
  <c r="M56"/>
  <c r="E56"/>
  <c r="M55"/>
  <c r="E55"/>
  <c r="M54"/>
  <c r="E54"/>
  <c r="M53"/>
  <c r="E53"/>
  <c r="M52"/>
  <c r="E52"/>
  <c r="M51"/>
  <c r="E51"/>
  <c r="M50"/>
  <c r="E50"/>
  <c r="E49"/>
  <c r="E48"/>
  <c r="E47"/>
  <c r="E46"/>
  <c r="M45"/>
  <c r="M47" s="1"/>
  <c r="E45"/>
  <c r="M44"/>
  <c r="M46" s="1"/>
  <c r="E44"/>
  <c r="M43"/>
  <c r="E43"/>
  <c r="M42"/>
  <c r="E42"/>
  <c r="M41"/>
  <c r="E41"/>
  <c r="M40"/>
  <c r="E40"/>
  <c r="M39"/>
  <c r="E39"/>
  <c r="M38"/>
  <c r="E38"/>
  <c r="M37"/>
  <c r="E37"/>
  <c r="M36"/>
  <c r="E36"/>
  <c r="E35"/>
  <c r="E34"/>
  <c r="A139" l="1"/>
  <c r="Q139"/>
  <c r="R139"/>
  <c r="S139"/>
  <c r="A669"/>
  <c r="S669"/>
  <c r="Q669"/>
  <c r="R669"/>
  <c r="A665"/>
  <c r="S665"/>
  <c r="Q665"/>
  <c r="R665"/>
  <c r="A661"/>
  <c r="S661"/>
  <c r="Q661"/>
  <c r="R661"/>
  <c r="A657"/>
  <c r="S657"/>
  <c r="Q657"/>
  <c r="R657"/>
  <c r="A653"/>
  <c r="S653"/>
  <c r="Q653"/>
  <c r="R653"/>
  <c r="A649"/>
  <c r="S649"/>
  <c r="Q649"/>
  <c r="R649"/>
  <c r="A645"/>
  <c r="S645"/>
  <c r="Q645"/>
  <c r="R645"/>
  <c r="A641"/>
  <c r="S641"/>
  <c r="Q641"/>
  <c r="R641"/>
  <c r="A636"/>
  <c r="Q636"/>
  <c r="R636"/>
  <c r="S636"/>
  <c r="A632"/>
  <c r="Q632"/>
  <c r="R632"/>
  <c r="S632"/>
  <c r="A628"/>
  <c r="Q628"/>
  <c r="R628"/>
  <c r="S628"/>
  <c r="A624"/>
  <c r="Q624"/>
  <c r="R624"/>
  <c r="S624"/>
  <c r="A620"/>
  <c r="Q620"/>
  <c r="R620"/>
  <c r="S620"/>
  <c r="A616"/>
  <c r="S616"/>
  <c r="Q616"/>
  <c r="R616"/>
  <c r="A612"/>
  <c r="S612"/>
  <c r="Q612"/>
  <c r="R612"/>
  <c r="A608"/>
  <c r="S608"/>
  <c r="Q608"/>
  <c r="R608"/>
  <c r="A603"/>
  <c r="Q603"/>
  <c r="R603"/>
  <c r="S603"/>
  <c r="A599"/>
  <c r="Q599"/>
  <c r="R599"/>
  <c r="S599"/>
  <c r="A595"/>
  <c r="Q595"/>
  <c r="R595"/>
  <c r="S595"/>
  <c r="A591"/>
  <c r="Q591"/>
  <c r="R591"/>
  <c r="S591"/>
  <c r="A587"/>
  <c r="Q587"/>
  <c r="R587"/>
  <c r="S587"/>
  <c r="A583"/>
  <c r="Q583"/>
  <c r="R583"/>
  <c r="S583"/>
  <c r="A579"/>
  <c r="Q579"/>
  <c r="R579"/>
  <c r="S579"/>
  <c r="A575"/>
  <c r="Q575"/>
  <c r="R575"/>
  <c r="S575"/>
  <c r="A571"/>
  <c r="Q571"/>
  <c r="R571"/>
  <c r="S571"/>
  <c r="A567"/>
  <c r="Q567"/>
  <c r="R567"/>
  <c r="S567"/>
  <c r="A557"/>
  <c r="Q557"/>
  <c r="R557"/>
  <c r="S557"/>
  <c r="A553"/>
  <c r="Q553"/>
  <c r="R553"/>
  <c r="S553"/>
  <c r="A550"/>
  <c r="S550"/>
  <c r="Q550"/>
  <c r="R550"/>
  <c r="A545"/>
  <c r="Q545"/>
  <c r="R545"/>
  <c r="S545"/>
  <c r="A542"/>
  <c r="S542"/>
  <c r="Q542"/>
  <c r="R542"/>
  <c r="A538"/>
  <c r="S538"/>
  <c r="Q538"/>
  <c r="R538"/>
  <c r="A533"/>
  <c r="Q533"/>
  <c r="R533"/>
  <c r="S533"/>
  <c r="A529"/>
  <c r="Q529"/>
  <c r="R529"/>
  <c r="S529"/>
  <c r="A525"/>
  <c r="Q525"/>
  <c r="R525"/>
  <c r="S525"/>
  <c r="A522"/>
  <c r="S522"/>
  <c r="Q522"/>
  <c r="R522"/>
  <c r="A517"/>
  <c r="Q517"/>
  <c r="R517"/>
  <c r="S517"/>
  <c r="A513"/>
  <c r="Q513"/>
  <c r="R513"/>
  <c r="S513"/>
  <c r="A507"/>
  <c r="Q507"/>
  <c r="R507"/>
  <c r="S507"/>
  <c r="A503"/>
  <c r="Q503"/>
  <c r="R503"/>
  <c r="S503"/>
  <c r="A499"/>
  <c r="Q499"/>
  <c r="R499"/>
  <c r="S499"/>
  <c r="A495"/>
  <c r="Q495"/>
  <c r="R495"/>
  <c r="S495"/>
  <c r="A485"/>
  <c r="Q485"/>
  <c r="R485"/>
  <c r="S485"/>
  <c r="A816"/>
  <c r="Q816"/>
  <c r="R816"/>
  <c r="S816"/>
  <c r="A677"/>
  <c r="S677"/>
  <c r="Q677"/>
  <c r="R677"/>
  <c r="A668"/>
  <c r="Q668"/>
  <c r="R668"/>
  <c r="S668"/>
  <c r="A664"/>
  <c r="Q664"/>
  <c r="R664"/>
  <c r="S664"/>
  <c r="A656"/>
  <c r="Q656"/>
  <c r="R656"/>
  <c r="S656"/>
  <c r="A652"/>
  <c r="Q652"/>
  <c r="R652"/>
  <c r="S652"/>
  <c r="A648"/>
  <c r="Q648"/>
  <c r="R648"/>
  <c r="S648"/>
  <c r="A644"/>
  <c r="Q644"/>
  <c r="R644"/>
  <c r="S644"/>
  <c r="A640"/>
  <c r="Q640"/>
  <c r="R640"/>
  <c r="S640"/>
  <c r="A635"/>
  <c r="S635"/>
  <c r="Q635"/>
  <c r="R635"/>
  <c r="A631"/>
  <c r="S631"/>
  <c r="Q631"/>
  <c r="R631"/>
  <c r="A627"/>
  <c r="S627"/>
  <c r="Q627"/>
  <c r="R627"/>
  <c r="A623"/>
  <c r="S623"/>
  <c r="Q623"/>
  <c r="R623"/>
  <c r="A619"/>
  <c r="S619"/>
  <c r="Q619"/>
  <c r="R619"/>
  <c r="A615"/>
  <c r="Q615"/>
  <c r="R615"/>
  <c r="S615"/>
  <c r="A611"/>
  <c r="Q611"/>
  <c r="S611"/>
  <c r="R611"/>
  <c r="A607"/>
  <c r="Q607"/>
  <c r="S607"/>
  <c r="R607"/>
  <c r="A602"/>
  <c r="S602"/>
  <c r="Q602"/>
  <c r="R602"/>
  <c r="A598"/>
  <c r="S598"/>
  <c r="Q598"/>
  <c r="R598"/>
  <c r="A594"/>
  <c r="S594"/>
  <c r="Q594"/>
  <c r="R594"/>
  <c r="A590"/>
  <c r="S590"/>
  <c r="Q590"/>
  <c r="R590"/>
  <c r="A586"/>
  <c r="S586"/>
  <c r="Q586"/>
  <c r="R586"/>
  <c r="A582"/>
  <c r="S582"/>
  <c r="Q582"/>
  <c r="R582"/>
  <c r="A578"/>
  <c r="S578"/>
  <c r="Q578"/>
  <c r="R578"/>
  <c r="A574"/>
  <c r="S574"/>
  <c r="Q574"/>
  <c r="R574"/>
  <c r="A570"/>
  <c r="S570"/>
  <c r="Q570"/>
  <c r="R570"/>
  <c r="A566"/>
  <c r="S566"/>
  <c r="Q566"/>
  <c r="R566"/>
  <c r="A556"/>
  <c r="S556"/>
  <c r="Q556"/>
  <c r="R556"/>
  <c r="A552"/>
  <c r="S552"/>
  <c r="Q552"/>
  <c r="R552"/>
  <c r="A549"/>
  <c r="Q549"/>
  <c r="R549"/>
  <c r="S549"/>
  <c r="A544"/>
  <c r="S544"/>
  <c r="Q544"/>
  <c r="R544"/>
  <c r="A541"/>
  <c r="Q541"/>
  <c r="R541"/>
  <c r="S541"/>
  <c r="A537"/>
  <c r="Q537"/>
  <c r="R537"/>
  <c r="S537"/>
  <c r="A532"/>
  <c r="S532"/>
  <c r="Q532"/>
  <c r="R532"/>
  <c r="A528"/>
  <c r="S528"/>
  <c r="Q528"/>
  <c r="R528"/>
  <c r="A524"/>
  <c r="S524"/>
  <c r="Q524"/>
  <c r="R524"/>
  <c r="A521"/>
  <c r="Q521"/>
  <c r="R521"/>
  <c r="S521"/>
  <c r="A516"/>
  <c r="S516"/>
  <c r="Q516"/>
  <c r="R516"/>
  <c r="A512"/>
  <c r="S512"/>
  <c r="Q512"/>
  <c r="R512"/>
  <c r="A506"/>
  <c r="S506"/>
  <c r="Q506"/>
  <c r="R506"/>
  <c r="A502"/>
  <c r="S502"/>
  <c r="Q502"/>
  <c r="R502"/>
  <c r="A498"/>
  <c r="S498"/>
  <c r="Q498"/>
  <c r="R498"/>
  <c r="A494"/>
  <c r="S494"/>
  <c r="Q494"/>
  <c r="R494"/>
  <c r="A484"/>
  <c r="S484"/>
  <c r="Q484"/>
  <c r="R484"/>
  <c r="A672"/>
  <c r="Q672"/>
  <c r="R672"/>
  <c r="S672"/>
  <c r="A671"/>
  <c r="S671"/>
  <c r="Q671"/>
  <c r="R671"/>
  <c r="A667"/>
  <c r="S667"/>
  <c r="Q667"/>
  <c r="R667"/>
  <c r="A663"/>
  <c r="S663"/>
  <c r="Q663"/>
  <c r="R663"/>
  <c r="A659"/>
  <c r="S659"/>
  <c r="Q659"/>
  <c r="R659"/>
  <c r="A655"/>
  <c r="S655"/>
  <c r="Q655"/>
  <c r="R655"/>
  <c r="A651"/>
  <c r="S651"/>
  <c r="Q651"/>
  <c r="R651"/>
  <c r="A647"/>
  <c r="S647"/>
  <c r="Q647"/>
  <c r="R647"/>
  <c r="A643"/>
  <c r="S643"/>
  <c r="Q643"/>
  <c r="R643"/>
  <c r="A639"/>
  <c r="S639"/>
  <c r="Q639"/>
  <c r="R639"/>
  <c r="A634"/>
  <c r="Q634"/>
  <c r="R634"/>
  <c r="S634"/>
  <c r="A630"/>
  <c r="Q630"/>
  <c r="R630"/>
  <c r="S630"/>
  <c r="A626"/>
  <c r="Q626"/>
  <c r="R626"/>
  <c r="S626"/>
  <c r="A622"/>
  <c r="Q622"/>
  <c r="R622"/>
  <c r="S622"/>
  <c r="A618"/>
  <c r="S618"/>
  <c r="Q618"/>
  <c r="R618"/>
  <c r="A614"/>
  <c r="S614"/>
  <c r="R614"/>
  <c r="Q614"/>
  <c r="A610"/>
  <c r="S610"/>
  <c r="Q610"/>
  <c r="R610"/>
  <c r="A606"/>
  <c r="S606"/>
  <c r="Q606"/>
  <c r="R606"/>
  <c r="A601"/>
  <c r="Q601"/>
  <c r="R601"/>
  <c r="S601"/>
  <c r="A597"/>
  <c r="Q597"/>
  <c r="R597"/>
  <c r="S597"/>
  <c r="A593"/>
  <c r="Q593"/>
  <c r="R593"/>
  <c r="S593"/>
  <c r="A589"/>
  <c r="Q589"/>
  <c r="R589"/>
  <c r="S589"/>
  <c r="A585"/>
  <c r="Q585"/>
  <c r="R585"/>
  <c r="S585"/>
  <c r="A581"/>
  <c r="Q581"/>
  <c r="R581"/>
  <c r="S581"/>
  <c r="A577"/>
  <c r="Q577"/>
  <c r="R577"/>
  <c r="S577"/>
  <c r="A573"/>
  <c r="Q573"/>
  <c r="R573"/>
  <c r="S573"/>
  <c r="A569"/>
  <c r="Q569"/>
  <c r="R569"/>
  <c r="S569"/>
  <c r="A559"/>
  <c r="Q559"/>
  <c r="R559"/>
  <c r="S559"/>
  <c r="A555"/>
  <c r="Q555"/>
  <c r="R555"/>
  <c r="S555"/>
  <c r="A551"/>
  <c r="Q551"/>
  <c r="R551"/>
  <c r="S551"/>
  <c r="A547"/>
  <c r="Q547"/>
  <c r="R547"/>
  <c r="S547"/>
  <c r="A543"/>
  <c r="Q543"/>
  <c r="R543"/>
  <c r="S543"/>
  <c r="A540"/>
  <c r="S540"/>
  <c r="Q540"/>
  <c r="R540"/>
  <c r="A536"/>
  <c r="S536"/>
  <c r="Q536"/>
  <c r="R536"/>
  <c r="A531"/>
  <c r="Q531"/>
  <c r="R531"/>
  <c r="S531"/>
  <c r="A527"/>
  <c r="Q527"/>
  <c r="R527"/>
  <c r="S527"/>
  <c r="A518"/>
  <c r="S518"/>
  <c r="Q518"/>
  <c r="R518"/>
  <c r="A520"/>
  <c r="S520"/>
  <c r="Q520"/>
  <c r="R520"/>
  <c r="A515"/>
  <c r="Q515"/>
  <c r="R515"/>
  <c r="S515"/>
  <c r="A511"/>
  <c r="Q511"/>
  <c r="R511"/>
  <c r="S511"/>
  <c r="A505"/>
  <c r="Q505"/>
  <c r="R505"/>
  <c r="S505"/>
  <c r="A501"/>
  <c r="Q501"/>
  <c r="R501"/>
  <c r="S501"/>
  <c r="A497"/>
  <c r="Q497"/>
  <c r="R497"/>
  <c r="S497"/>
  <c r="A491"/>
  <c r="Q491"/>
  <c r="R491"/>
  <c r="S491"/>
  <c r="A483"/>
  <c r="Q483"/>
  <c r="R483"/>
  <c r="S483"/>
  <c r="A140"/>
  <c r="R140"/>
  <c r="S140"/>
  <c r="Q140"/>
  <c r="A670"/>
  <c r="Q670"/>
  <c r="R670"/>
  <c r="S670"/>
  <c r="A666"/>
  <c r="Q666"/>
  <c r="R666"/>
  <c r="S666"/>
  <c r="A662"/>
  <c r="Q662"/>
  <c r="R662"/>
  <c r="S662"/>
  <c r="A658"/>
  <c r="Q658"/>
  <c r="R658"/>
  <c r="S658"/>
  <c r="A654"/>
  <c r="Q654"/>
  <c r="R654"/>
  <c r="S654"/>
  <c r="A650"/>
  <c r="Q650"/>
  <c r="R650"/>
  <c r="S650"/>
  <c r="A646"/>
  <c r="Q646"/>
  <c r="R646"/>
  <c r="S646"/>
  <c r="A642"/>
  <c r="Q642"/>
  <c r="R642"/>
  <c r="S642"/>
  <c r="A638"/>
  <c r="Q638"/>
  <c r="R638"/>
  <c r="S638"/>
  <c r="A633"/>
  <c r="S633"/>
  <c r="Q633"/>
  <c r="R633"/>
  <c r="A629"/>
  <c r="S629"/>
  <c r="Q629"/>
  <c r="R629"/>
  <c r="A625"/>
  <c r="S625"/>
  <c r="Q625"/>
  <c r="R625"/>
  <c r="A621"/>
  <c r="S621"/>
  <c r="Q621"/>
  <c r="R621"/>
  <c r="A617"/>
  <c r="Q617"/>
  <c r="R617"/>
  <c r="S617"/>
  <c r="A613"/>
  <c r="Q613"/>
  <c r="S613"/>
  <c r="R613"/>
  <c r="A609"/>
  <c r="Q609"/>
  <c r="S609"/>
  <c r="R609"/>
  <c r="A604"/>
  <c r="S604"/>
  <c r="Q604"/>
  <c r="R604"/>
  <c r="A600"/>
  <c r="S600"/>
  <c r="Q600"/>
  <c r="R600"/>
  <c r="A596"/>
  <c r="S596"/>
  <c r="Q596"/>
  <c r="R596"/>
  <c r="A592"/>
  <c r="S592"/>
  <c r="Q592"/>
  <c r="R592"/>
  <c r="A588"/>
  <c r="S588"/>
  <c r="Q588"/>
  <c r="R588"/>
  <c r="A584"/>
  <c r="S584"/>
  <c r="Q584"/>
  <c r="R584"/>
  <c r="A580"/>
  <c r="S580"/>
  <c r="Q580"/>
  <c r="R580"/>
  <c r="A576"/>
  <c r="S576"/>
  <c r="Q576"/>
  <c r="R576"/>
  <c r="A572"/>
  <c r="S572"/>
  <c r="Q572"/>
  <c r="R572"/>
  <c r="A605"/>
  <c r="Q605"/>
  <c r="S605"/>
  <c r="R605"/>
  <c r="A558"/>
  <c r="S558"/>
  <c r="Q558"/>
  <c r="R558"/>
  <c r="A554"/>
  <c r="S554"/>
  <c r="Q554"/>
  <c r="R554"/>
  <c r="A548"/>
  <c r="S548"/>
  <c r="Q548"/>
  <c r="R548"/>
  <c r="A546"/>
  <c r="S546"/>
  <c r="Q546"/>
  <c r="R546"/>
  <c r="A535"/>
  <c r="Q535"/>
  <c r="R535"/>
  <c r="S535"/>
  <c r="A539"/>
  <c r="Q539"/>
  <c r="R539"/>
  <c r="S539"/>
  <c r="A534"/>
  <c r="S534"/>
  <c r="Q534"/>
  <c r="R534"/>
  <c r="A530"/>
  <c r="S530"/>
  <c r="Q530"/>
  <c r="R530"/>
  <c r="A526"/>
  <c r="S526"/>
  <c r="Q526"/>
  <c r="R526"/>
  <c r="A523"/>
  <c r="Q523"/>
  <c r="R523"/>
  <c r="S523"/>
  <c r="A519"/>
  <c r="Q519"/>
  <c r="R519"/>
  <c r="S519"/>
  <c r="A514"/>
  <c r="S514"/>
  <c r="Q514"/>
  <c r="R514"/>
  <c r="A510"/>
  <c r="S510"/>
  <c r="Q510"/>
  <c r="R510"/>
  <c r="A504"/>
  <c r="S504"/>
  <c r="Q504"/>
  <c r="R504"/>
  <c r="A500"/>
  <c r="S500"/>
  <c r="Q500"/>
  <c r="R500"/>
  <c r="A496"/>
  <c r="S496"/>
  <c r="Q496"/>
  <c r="R496"/>
  <c r="A490"/>
  <c r="S490"/>
  <c r="Q490"/>
  <c r="R490"/>
  <c r="A482"/>
  <c r="S482"/>
  <c r="Q482"/>
  <c r="R482"/>
  <c r="J64" i="64"/>
  <c r="J32"/>
  <c r="J31"/>
  <c r="J27"/>
  <c r="J28"/>
  <c r="J26"/>
  <c r="K27"/>
  <c r="K28"/>
  <c r="K26"/>
  <c r="P26"/>
  <c r="G26"/>
  <c r="P27"/>
  <c r="G27"/>
  <c r="J25"/>
  <c r="J24"/>
  <c r="J23"/>
  <c r="J22"/>
  <c r="J17"/>
  <c r="J16"/>
  <c r="J14"/>
  <c r="Q14" s="1"/>
  <c r="J21"/>
  <c r="A29" i="68"/>
  <c r="G64" i="64"/>
  <c r="G15"/>
  <c r="G16"/>
  <c r="G17"/>
  <c r="G19"/>
  <c r="G20"/>
  <c r="G21"/>
  <c r="G22"/>
  <c r="G23"/>
  <c r="G24"/>
  <c r="G25"/>
  <c r="G28"/>
  <c r="G30"/>
  <c r="G31"/>
  <c r="G32"/>
  <c r="G14"/>
  <c r="P14"/>
  <c r="P15"/>
  <c r="P16"/>
  <c r="P17"/>
  <c r="P18"/>
  <c r="P19"/>
  <c r="P20"/>
  <c r="P21"/>
  <c r="P22"/>
  <c r="P23"/>
  <c r="P24"/>
  <c r="P25"/>
  <c r="P28"/>
  <c r="P29"/>
  <c r="P30"/>
  <c r="P31"/>
  <c r="P32"/>
  <c r="P33"/>
  <c r="P34"/>
  <c r="P35"/>
  <c r="P36"/>
  <c r="P37"/>
  <c r="P38"/>
  <c r="P39"/>
  <c r="P40"/>
  <c r="P41"/>
  <c r="P42"/>
  <c r="P43"/>
  <c r="P44"/>
  <c r="P45"/>
  <c r="P46"/>
  <c r="P47"/>
  <c r="P48"/>
  <c r="P49"/>
  <c r="P50"/>
  <c r="P51"/>
  <c r="P52"/>
  <c r="P53"/>
  <c r="P54"/>
  <c r="P55"/>
  <c r="P56"/>
  <c r="P57"/>
  <c r="P58"/>
  <c r="P59"/>
  <c r="P60"/>
  <c r="P61"/>
  <c r="P62"/>
  <c r="P63"/>
  <c r="P64"/>
  <c r="P65"/>
  <c r="P66"/>
  <c r="P13"/>
  <c r="C21" i="68" l="1"/>
  <c r="Q15" i="64"/>
  <c r="L26"/>
  <c r="B28" i="68"/>
  <c r="A28" s="1"/>
  <c r="B27"/>
  <c r="A27" s="1"/>
  <c r="B26"/>
  <c r="A26" s="1"/>
  <c r="B25"/>
  <c r="A25" s="1"/>
  <c r="B24"/>
  <c r="A24" s="1"/>
  <c r="B23"/>
  <c r="A23" s="1"/>
  <c r="B22"/>
  <c r="A22" s="1"/>
  <c r="B21"/>
  <c r="A21" s="1"/>
  <c r="E28"/>
  <c r="E27"/>
  <c r="E26"/>
  <c r="E25"/>
  <c r="E24"/>
  <c r="E23"/>
  <c r="E22"/>
  <c r="E21"/>
  <c r="D28"/>
  <c r="D27"/>
  <c r="D26"/>
  <c r="D25"/>
  <c r="D24"/>
  <c r="D23"/>
  <c r="D22"/>
  <c r="D21"/>
  <c r="C28"/>
  <c r="C27"/>
  <c r="C26"/>
  <c r="C25"/>
  <c r="C24"/>
  <c r="C23"/>
  <c r="C22"/>
  <c r="L27" i="64"/>
  <c r="E20" i="68"/>
  <c r="A7"/>
  <c r="A42"/>
  <c r="A43"/>
  <c r="F20"/>
  <c r="C20"/>
  <c r="A12"/>
  <c r="A8"/>
  <c r="A13"/>
  <c r="B20"/>
  <c r="A20" s="1"/>
  <c r="D20"/>
  <c r="E13"/>
  <c r="E11"/>
  <c r="E30" l="1"/>
  <c r="G20" s="1"/>
  <c r="F21"/>
  <c r="A10"/>
  <c r="L15" i="64"/>
  <c r="L16"/>
  <c r="L17"/>
  <c r="L19"/>
  <c r="L20"/>
  <c r="L21"/>
  <c r="L22"/>
  <c r="L23"/>
  <c r="L24"/>
  <c r="L25"/>
  <c r="L28"/>
  <c r="L30"/>
  <c r="L31"/>
  <c r="L32"/>
  <c r="J34"/>
  <c r="K34"/>
  <c r="H34"/>
  <c r="K66"/>
  <c r="J66"/>
  <c r="H66"/>
  <c r="L64"/>
  <c r="L66" s="1"/>
  <c r="L14"/>
  <c r="F22" i="68" l="1"/>
  <c r="H20"/>
  <c r="G21" s="1"/>
  <c r="L34" i="64"/>
  <c r="F23" i="68" l="1"/>
  <c r="H21"/>
  <c r="G22" s="1"/>
  <c r="F24" l="1"/>
  <c r="G23"/>
  <c r="H23" s="1"/>
  <c r="H22"/>
  <c r="F25" l="1"/>
  <c r="G24"/>
  <c r="H24" s="1"/>
  <c r="A27" i="45"/>
  <c r="A28"/>
  <c r="A29"/>
  <c r="A30"/>
  <c r="A31"/>
  <c r="A32"/>
  <c r="A33"/>
  <c r="F26" i="68" l="1"/>
  <c r="G25"/>
  <c r="H25" s="1"/>
  <c r="A6" i="45"/>
  <c r="A7"/>
  <c r="A8"/>
  <c r="A9"/>
  <c r="A10"/>
  <c r="A11"/>
  <c r="A12"/>
  <c r="A13"/>
  <c r="A14"/>
  <c r="A15"/>
  <c r="A16"/>
  <c r="A17"/>
  <c r="A18"/>
  <c r="A19"/>
  <c r="A20"/>
  <c r="A21"/>
  <c r="A22"/>
  <c r="A23"/>
  <c r="A24"/>
  <c r="A25"/>
  <c r="A26"/>
  <c r="A5"/>
  <c r="A6" i="62"/>
  <c r="A7"/>
  <c r="A8"/>
  <c r="A9"/>
  <c r="A10"/>
  <c r="A11"/>
  <c r="A12"/>
  <c r="A13"/>
  <c r="A14"/>
  <c r="A15"/>
  <c r="A16"/>
  <c r="A5"/>
  <c r="A25" i="12"/>
  <c r="F27" i="68" l="1"/>
  <c r="G26"/>
  <c r="H26" s="1"/>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F28" i="68" l="1"/>
  <c r="G28" s="1"/>
  <c r="G27"/>
  <c r="H27" s="1"/>
  <c r="M204" i="34"/>
  <c r="C204"/>
  <c r="AD204" s="1"/>
  <c r="I193"/>
  <c r="M195"/>
  <c r="C195"/>
  <c r="AD195" s="1"/>
  <c r="M194"/>
  <c r="C194"/>
  <c r="AD194" s="1"/>
  <c r="C637"/>
  <c r="AD637" s="1"/>
  <c r="C419"/>
  <c r="AD419" s="1"/>
  <c r="C408"/>
  <c r="AD408" s="1"/>
  <c r="M187"/>
  <c r="M188"/>
  <c r="M189"/>
  <c r="M190"/>
  <c r="M191"/>
  <c r="M192"/>
  <c r="C744"/>
  <c r="AD744" s="1"/>
  <c r="C743"/>
  <c r="AD743" s="1"/>
  <c r="C742"/>
  <c r="AD742" s="1"/>
  <c r="C741"/>
  <c r="AD741" s="1"/>
  <c r="C740"/>
  <c r="AD740" s="1"/>
  <c r="C193"/>
  <c r="AD193" s="1"/>
  <c r="C192"/>
  <c r="AD192" s="1"/>
  <c r="C191"/>
  <c r="AD191" s="1"/>
  <c r="C190"/>
  <c r="AD190" s="1"/>
  <c r="C189"/>
  <c r="AD189" s="1"/>
  <c r="C188"/>
  <c r="AD188" s="1"/>
  <c r="C187"/>
  <c r="AD187" s="1"/>
  <c r="E72" i="60"/>
  <c r="V12"/>
  <c r="V13"/>
  <c r="V14"/>
  <c r="M122" i="34"/>
  <c r="M123"/>
  <c r="M124"/>
  <c r="M125"/>
  <c r="M126"/>
  <c r="M127"/>
  <c r="M128"/>
  <c r="M129"/>
  <c r="C129"/>
  <c r="AD129" s="1"/>
  <c r="C128"/>
  <c r="AD128" s="1"/>
  <c r="C127"/>
  <c r="AD127" s="1"/>
  <c r="C126"/>
  <c r="AD126" s="1"/>
  <c r="C125"/>
  <c r="AD125" s="1"/>
  <c r="C124"/>
  <c r="AD124" s="1"/>
  <c r="C123"/>
  <c r="AD123" s="1"/>
  <c r="C122"/>
  <c r="AD122" s="1"/>
  <c r="I55" i="55" l="1" a="1"/>
  <c r="I55" s="1"/>
  <c r="I57" a="1"/>
  <c r="I57" s="1"/>
  <c r="G56" a="1"/>
  <c r="G56" s="1"/>
  <c r="I58" a="1"/>
  <c r="I58" s="1"/>
  <c r="I56" a="1"/>
  <c r="I56" s="1"/>
  <c r="G58" a="1"/>
  <c r="G58" s="1"/>
  <c r="G55" a="1"/>
  <c r="G55" s="1"/>
  <c r="G57" a="1"/>
  <c r="G57" s="1"/>
  <c r="M193" i="34"/>
  <c r="I21" i="55" a="1"/>
  <c r="I21" s="1"/>
  <c r="G21" a="1"/>
  <c r="G21" s="1"/>
  <c r="H28" i="68"/>
  <c r="G30"/>
  <c r="B204" i="34"/>
  <c r="B195"/>
  <c r="B194"/>
  <c r="B637"/>
  <c r="B740"/>
  <c r="B744"/>
  <c r="B741"/>
  <c r="B742"/>
  <c r="B743"/>
  <c r="B187"/>
  <c r="B189"/>
  <c r="B191"/>
  <c r="B193"/>
  <c r="B188"/>
  <c r="B190"/>
  <c r="B192"/>
  <c r="B123"/>
  <c r="B125"/>
  <c r="B127"/>
  <c r="B129"/>
  <c r="B122"/>
  <c r="B124"/>
  <c r="B126"/>
  <c r="B128"/>
  <c r="K57" i="55" l="1"/>
  <c r="K55"/>
  <c r="K58"/>
  <c r="K56"/>
  <c r="K21"/>
  <c r="A193" i="34"/>
  <c r="S193"/>
  <c r="Q193"/>
  <c r="R193"/>
  <c r="A740"/>
  <c r="S740"/>
  <c r="Q740"/>
  <c r="R740"/>
  <c r="A128"/>
  <c r="R128"/>
  <c r="S128"/>
  <c r="Q128"/>
  <c r="A191"/>
  <c r="S191"/>
  <c r="Q191"/>
  <c r="R191"/>
  <c r="A126"/>
  <c r="R126"/>
  <c r="S126"/>
  <c r="Q126"/>
  <c r="A190"/>
  <c r="Q190"/>
  <c r="R190"/>
  <c r="S190"/>
  <c r="A189"/>
  <c r="S189"/>
  <c r="Q189"/>
  <c r="R189"/>
  <c r="A741"/>
  <c r="Q741"/>
  <c r="R741"/>
  <c r="S741"/>
  <c r="A124"/>
  <c r="R124"/>
  <c r="S124"/>
  <c r="Q124"/>
  <c r="A125"/>
  <c r="Q125"/>
  <c r="R125"/>
  <c r="S125"/>
  <c r="A188"/>
  <c r="Q188"/>
  <c r="R188"/>
  <c r="S188"/>
  <c r="A187"/>
  <c r="S187"/>
  <c r="Q187"/>
  <c r="R187"/>
  <c r="A744"/>
  <c r="S744"/>
  <c r="Q744"/>
  <c r="R744"/>
  <c r="A195"/>
  <c r="S195"/>
  <c r="Q195"/>
  <c r="R195"/>
  <c r="A123"/>
  <c r="Q123"/>
  <c r="R123"/>
  <c r="S123"/>
  <c r="A743"/>
  <c r="Q743"/>
  <c r="R743"/>
  <c r="S743"/>
  <c r="A192"/>
  <c r="Q192"/>
  <c r="R192"/>
  <c r="S192"/>
  <c r="A742"/>
  <c r="S742"/>
  <c r="Q742"/>
  <c r="R742"/>
  <c r="A637"/>
  <c r="S637"/>
  <c r="Q637"/>
  <c r="R637"/>
  <c r="A122"/>
  <c r="R122"/>
  <c r="S122"/>
  <c r="Q122"/>
  <c r="A204"/>
  <c r="Q204"/>
  <c r="R204"/>
  <c r="S204"/>
  <c r="A129"/>
  <c r="Q129"/>
  <c r="R129"/>
  <c r="S129"/>
  <c r="A127"/>
  <c r="Q127"/>
  <c r="R127"/>
  <c r="S127"/>
  <c r="A194"/>
  <c r="Q194"/>
  <c r="R194"/>
  <c r="S194"/>
  <c r="B76"/>
  <c r="B77"/>
  <c r="B78"/>
  <c r="B79"/>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678"/>
  <c r="B679"/>
  <c r="B680"/>
  <c r="B681"/>
  <c r="B682"/>
  <c r="B683"/>
  <c r="B684"/>
  <c r="B685"/>
  <c r="B686"/>
  <c r="B687"/>
  <c r="B688"/>
  <c r="B689"/>
  <c r="B690"/>
  <c r="B691"/>
  <c r="B692"/>
  <c r="B693"/>
  <c r="B694"/>
  <c r="B695"/>
  <c r="B696"/>
  <c r="B697"/>
  <c r="B698"/>
  <c r="B699"/>
  <c r="B700"/>
  <c r="B701"/>
  <c r="B702"/>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6"/>
  <c r="B257"/>
  <c r="B258"/>
  <c r="B259"/>
  <c r="B260"/>
  <c r="B261"/>
  <c r="B262"/>
  <c r="B263"/>
  <c r="B264"/>
  <c r="B265"/>
  <c r="B266"/>
  <c r="B267"/>
  <c r="B268"/>
  <c r="B269"/>
  <c r="B270"/>
  <c r="B271"/>
  <c r="B272"/>
  <c r="B273"/>
  <c r="B274"/>
  <c r="B275"/>
  <c r="B276"/>
  <c r="B277"/>
  <c r="B278"/>
  <c r="B279"/>
  <c r="B280"/>
  <c r="B281"/>
  <c r="B282"/>
  <c r="B283"/>
  <c r="B284"/>
  <c r="B285"/>
  <c r="B286"/>
  <c r="B287"/>
  <c r="B288"/>
  <c r="B289"/>
  <c r="B291"/>
  <c r="B292"/>
  <c r="B293"/>
  <c r="B294"/>
  <c r="B295"/>
  <c r="B296"/>
  <c r="B297"/>
  <c r="B299"/>
  <c r="B300"/>
  <c r="B304"/>
  <c r="B308"/>
  <c r="B301"/>
  <c r="B302"/>
  <c r="B303"/>
  <c r="B305"/>
  <c r="B306"/>
  <c r="B307"/>
  <c r="B309"/>
  <c r="B310"/>
  <c r="B311"/>
  <c r="B312"/>
  <c r="B313"/>
  <c r="B314"/>
  <c r="B315"/>
  <c r="B316"/>
  <c r="B317"/>
  <c r="B318"/>
  <c r="B319"/>
  <c r="B323"/>
  <c r="B324"/>
  <c r="B325"/>
  <c r="B326"/>
  <c r="B327"/>
  <c r="B329"/>
  <c r="B332"/>
  <c r="B333"/>
  <c r="B334"/>
  <c r="B335"/>
  <c r="B337"/>
  <c r="B336"/>
  <c r="B338"/>
  <c r="B339"/>
  <c r="B340"/>
  <c r="B341"/>
  <c r="B342"/>
  <c r="B343"/>
  <c r="B344"/>
  <c r="B345"/>
  <c r="B346"/>
  <c r="B347"/>
  <c r="B348"/>
  <c r="B349"/>
  <c r="B350"/>
  <c r="B351"/>
  <c r="B352"/>
  <c r="B353"/>
  <c r="B354"/>
  <c r="B355"/>
  <c r="B356"/>
  <c r="B357"/>
  <c r="B358"/>
  <c r="B359"/>
  <c r="B360"/>
  <c r="B361"/>
  <c r="B362"/>
  <c r="B363"/>
  <c r="B364"/>
  <c r="B366"/>
  <c r="B367"/>
  <c r="B368"/>
  <c r="B369"/>
  <c r="B370"/>
  <c r="B371"/>
  <c r="B372"/>
  <c r="B373"/>
  <c r="B374"/>
  <c r="B379"/>
  <c r="B380"/>
  <c r="B381"/>
  <c r="B382"/>
  <c r="B383"/>
  <c r="B384"/>
  <c r="B385"/>
  <c r="B386"/>
  <c r="B387"/>
  <c r="B388"/>
  <c r="B389"/>
  <c r="B390"/>
  <c r="B391"/>
  <c r="B392"/>
  <c r="B393"/>
  <c r="B394"/>
  <c r="B395"/>
  <c r="B396"/>
  <c r="B397"/>
  <c r="B375"/>
  <c r="B378"/>
  <c r="B398"/>
  <c r="B399"/>
  <c r="B400"/>
  <c r="B401"/>
  <c r="B402"/>
  <c r="B409"/>
  <c r="B410"/>
  <c r="B411"/>
  <c r="B412"/>
  <c r="B413"/>
  <c r="B414"/>
  <c r="B415"/>
  <c r="B416"/>
  <c r="B417"/>
  <c r="B418"/>
  <c r="B420"/>
  <c r="B421"/>
  <c r="B422"/>
  <c r="B423"/>
  <c r="B424"/>
  <c r="B430"/>
  <c r="B431"/>
  <c r="B432"/>
  <c r="B433"/>
  <c r="B434"/>
  <c r="B435"/>
  <c r="B436"/>
  <c r="B437"/>
  <c r="B438"/>
  <c r="B439"/>
  <c r="B440"/>
  <c r="B441"/>
  <c r="B442"/>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703"/>
  <c r="B704"/>
  <c r="B705"/>
  <c r="B706"/>
  <c r="B707"/>
  <c r="B708"/>
  <c r="B709"/>
  <c r="B710"/>
  <c r="B711"/>
  <c r="B712"/>
  <c r="B713"/>
  <c r="B408"/>
  <c r="B419"/>
  <c r="B568"/>
  <c r="B728"/>
  <c r="B729"/>
  <c r="B727"/>
  <c r="B714"/>
  <c r="B715"/>
  <c r="B716"/>
  <c r="B717"/>
  <c r="B718"/>
  <c r="B719"/>
  <c r="B720"/>
  <c r="B721"/>
  <c r="B722"/>
  <c r="B723"/>
  <c r="B725"/>
  <c r="B726"/>
  <c r="B130"/>
  <c r="B131"/>
  <c r="B132"/>
  <c r="B135"/>
  <c r="B136"/>
  <c r="B820"/>
  <c r="B821"/>
  <c r="B822"/>
  <c r="B823"/>
  <c r="B834"/>
  <c r="B838"/>
  <c r="B852"/>
  <c r="B854"/>
  <c r="B855"/>
  <c r="B856"/>
  <c r="B870"/>
  <c r="B871"/>
  <c r="B872"/>
  <c r="B873"/>
  <c r="B874"/>
  <c r="B875"/>
  <c r="B876"/>
  <c r="B877"/>
  <c r="B878"/>
  <c r="B879"/>
  <c r="B880"/>
  <c r="B881"/>
  <c r="B882"/>
  <c r="B883"/>
  <c r="B884"/>
  <c r="B885"/>
  <c r="B886"/>
  <c r="B818"/>
  <c r="B887"/>
  <c r="B888"/>
  <c r="B889"/>
  <c r="B890"/>
  <c r="B891"/>
  <c r="B896"/>
  <c r="B897"/>
  <c r="B898"/>
  <c r="B899"/>
  <c r="B900"/>
  <c r="B901"/>
  <c r="B902"/>
  <c r="B903"/>
  <c r="B904"/>
  <c r="B905"/>
  <c r="B906"/>
  <c r="B907"/>
  <c r="B908"/>
  <c r="B909"/>
  <c r="B910"/>
  <c r="B911"/>
  <c r="B912"/>
  <c r="B913"/>
  <c r="B914"/>
  <c r="B915"/>
  <c r="B916"/>
  <c r="B917"/>
  <c r="B918"/>
  <c r="B829"/>
  <c r="B919"/>
  <c r="B920"/>
  <c r="B921"/>
  <c r="B922"/>
  <c r="B923"/>
  <c r="B929"/>
  <c r="B933"/>
  <c r="B935"/>
  <c r="B936"/>
  <c r="B937"/>
  <c r="B939"/>
  <c r="B940"/>
  <c r="B941"/>
  <c r="B942"/>
  <c r="B951"/>
  <c r="B952"/>
  <c r="B955"/>
  <c r="B956"/>
  <c r="B968"/>
  <c r="B969"/>
  <c r="B970"/>
  <c r="B974"/>
  <c r="B975"/>
  <c r="B985"/>
  <c r="B992"/>
  <c r="B993"/>
  <c r="B996"/>
  <c r="B1003"/>
  <c r="B1004"/>
  <c r="B1005"/>
  <c r="B1006"/>
  <c r="B1008"/>
  <c r="B1009"/>
  <c r="B1148"/>
  <c r="B1149"/>
  <c r="B1150"/>
  <c r="B1151"/>
  <c r="B1152"/>
  <c r="B1153"/>
  <c r="B1154"/>
  <c r="B1155"/>
  <c r="B1156"/>
  <c r="B1157"/>
  <c r="B1158"/>
  <c r="B1159"/>
  <c r="B1160"/>
  <c r="B1161"/>
  <c r="B1162"/>
  <c r="B1163"/>
  <c r="B1164"/>
  <c r="B1165"/>
  <c r="B1166"/>
  <c r="A1165" l="1"/>
  <c r="R1165"/>
  <c r="S1165"/>
  <c r="Q1165"/>
  <c r="A1153"/>
  <c r="R1153"/>
  <c r="S1153"/>
  <c r="Q1153"/>
  <c r="A1006"/>
  <c r="R1006"/>
  <c r="S1006"/>
  <c r="Q1006"/>
  <c r="A956"/>
  <c r="R956"/>
  <c r="S956"/>
  <c r="Q956"/>
  <c r="A922"/>
  <c r="R922"/>
  <c r="S922"/>
  <c r="Q922"/>
  <c r="A911"/>
  <c r="R911"/>
  <c r="S911"/>
  <c r="Q911"/>
  <c r="A899"/>
  <c r="S899"/>
  <c r="R899"/>
  <c r="Q899"/>
  <c r="A884"/>
  <c r="S884"/>
  <c r="Q884"/>
  <c r="R884"/>
  <c r="A872"/>
  <c r="S872"/>
  <c r="Q872"/>
  <c r="R872"/>
  <c r="A838"/>
  <c r="S838"/>
  <c r="Q838"/>
  <c r="R838"/>
  <c r="A823"/>
  <c r="S823"/>
  <c r="Q823"/>
  <c r="R823"/>
  <c r="A723"/>
  <c r="S723"/>
  <c r="Q723"/>
  <c r="R723"/>
  <c r="A709"/>
  <c r="S709"/>
  <c r="Q709"/>
  <c r="R709"/>
  <c r="A476"/>
  <c r="S476"/>
  <c r="Q476"/>
  <c r="R476"/>
  <c r="A464"/>
  <c r="S464"/>
  <c r="Q464"/>
  <c r="R464"/>
  <c r="A452"/>
  <c r="S452"/>
  <c r="Q452"/>
  <c r="R452"/>
  <c r="A436"/>
  <c r="S436"/>
  <c r="Q436"/>
  <c r="R436"/>
  <c r="A418"/>
  <c r="S418"/>
  <c r="Q418"/>
  <c r="R418"/>
  <c r="A400"/>
  <c r="S400"/>
  <c r="Q400"/>
  <c r="R400"/>
  <c r="A390"/>
  <c r="S390"/>
  <c r="Q390"/>
  <c r="R390"/>
  <c r="A382"/>
  <c r="S382"/>
  <c r="Q382"/>
  <c r="R382"/>
  <c r="A370"/>
  <c r="S370"/>
  <c r="R370"/>
  <c r="Q370"/>
  <c r="A357"/>
  <c r="Q357"/>
  <c r="S357"/>
  <c r="R357"/>
  <c r="A345"/>
  <c r="Q345"/>
  <c r="S345"/>
  <c r="R345"/>
  <c r="A333"/>
  <c r="Q333"/>
  <c r="S333"/>
  <c r="R333"/>
  <c r="A315"/>
  <c r="Q315"/>
  <c r="R315"/>
  <c r="S315"/>
  <c r="A301"/>
  <c r="Q301"/>
  <c r="R301"/>
  <c r="S301"/>
  <c r="A294"/>
  <c r="S294"/>
  <c r="Q294"/>
  <c r="R294"/>
  <c r="A281"/>
  <c r="Q281"/>
  <c r="R281"/>
  <c r="S281"/>
  <c r="A269"/>
  <c r="Q269"/>
  <c r="R269"/>
  <c r="S269"/>
  <c r="A261"/>
  <c r="Q261"/>
  <c r="R261"/>
  <c r="S261"/>
  <c r="A248"/>
  <c r="S248"/>
  <c r="Q248"/>
  <c r="R248"/>
  <c r="A232"/>
  <c r="S232"/>
  <c r="Q232"/>
  <c r="R232"/>
  <c r="A220"/>
  <c r="Q220"/>
  <c r="S220"/>
  <c r="R220"/>
  <c r="A212"/>
  <c r="Q212"/>
  <c r="R212"/>
  <c r="S212"/>
  <c r="A694"/>
  <c r="Q694"/>
  <c r="R694"/>
  <c r="S694"/>
  <c r="A686"/>
  <c r="Q686"/>
  <c r="R686"/>
  <c r="S686"/>
  <c r="A72"/>
  <c r="S72"/>
  <c r="Q72"/>
  <c r="R72"/>
  <c r="A60"/>
  <c r="S60"/>
  <c r="Q60"/>
  <c r="R60"/>
  <c r="A48"/>
  <c r="S48"/>
  <c r="Q48"/>
  <c r="R48"/>
  <c r="A36"/>
  <c r="S36"/>
  <c r="Q36"/>
  <c r="R36"/>
  <c r="A1164"/>
  <c r="Q1164"/>
  <c r="R1164"/>
  <c r="S1164"/>
  <c r="A1160"/>
  <c r="Q1160"/>
  <c r="R1160"/>
  <c r="S1160"/>
  <c r="A1156"/>
  <c r="Q1156"/>
  <c r="R1156"/>
  <c r="S1156"/>
  <c r="A1152"/>
  <c r="Q1152"/>
  <c r="R1152"/>
  <c r="S1152"/>
  <c r="A1148"/>
  <c r="Q1148"/>
  <c r="R1148"/>
  <c r="S1148"/>
  <c r="A1005"/>
  <c r="Q1005"/>
  <c r="R1005"/>
  <c r="S1005"/>
  <c r="A993"/>
  <c r="Q993"/>
  <c r="R993"/>
  <c r="S993"/>
  <c r="A975"/>
  <c r="Q975"/>
  <c r="R975"/>
  <c r="S975"/>
  <c r="A970"/>
  <c r="Q970"/>
  <c r="R970"/>
  <c r="S970"/>
  <c r="A955"/>
  <c r="Q955"/>
  <c r="R955"/>
  <c r="S955"/>
  <c r="A941"/>
  <c r="Q941"/>
  <c r="R941"/>
  <c r="S941"/>
  <c r="A936"/>
  <c r="Q936"/>
  <c r="R936"/>
  <c r="S936"/>
  <c r="A921"/>
  <c r="Q921"/>
  <c r="R921"/>
  <c r="S921"/>
  <c r="A918"/>
  <c r="Q918"/>
  <c r="R918"/>
  <c r="S918"/>
  <c r="A914"/>
  <c r="Q914"/>
  <c r="R914"/>
  <c r="S914"/>
  <c r="A910"/>
  <c r="Q910"/>
  <c r="R910"/>
  <c r="S910"/>
  <c r="A906"/>
  <c r="Q906"/>
  <c r="R906"/>
  <c r="S906"/>
  <c r="A902"/>
  <c r="Q902"/>
  <c r="R902"/>
  <c r="S902"/>
  <c r="A898"/>
  <c r="Q898"/>
  <c r="R898"/>
  <c r="S898"/>
  <c r="A890"/>
  <c r="Q890"/>
  <c r="R890"/>
  <c r="S890"/>
  <c r="A818"/>
  <c r="Q818"/>
  <c r="R818"/>
  <c r="S818"/>
  <c r="A883"/>
  <c r="Q883"/>
  <c r="R883"/>
  <c r="S883"/>
  <c r="A879"/>
  <c r="Q879"/>
  <c r="R879"/>
  <c r="S879"/>
  <c r="A875"/>
  <c r="Q875"/>
  <c r="R875"/>
  <c r="S875"/>
  <c r="A871"/>
  <c r="Q871"/>
  <c r="R871"/>
  <c r="S871"/>
  <c r="A856"/>
  <c r="Q856"/>
  <c r="R856"/>
  <c r="S856"/>
  <c r="A852"/>
  <c r="Q852"/>
  <c r="R852"/>
  <c r="S852"/>
  <c r="A136"/>
  <c r="R136"/>
  <c r="S136"/>
  <c r="Q136"/>
  <c r="A130"/>
  <c r="R130"/>
  <c r="S130"/>
  <c r="Q130"/>
  <c r="A722"/>
  <c r="Q722"/>
  <c r="R722"/>
  <c r="S722"/>
  <c r="A718"/>
  <c r="Q718"/>
  <c r="R718"/>
  <c r="S718"/>
  <c r="A714"/>
  <c r="Q714"/>
  <c r="R714"/>
  <c r="S714"/>
  <c r="A568"/>
  <c r="S568"/>
  <c r="Q568"/>
  <c r="R568"/>
  <c r="A712"/>
  <c r="Q712"/>
  <c r="R712"/>
  <c r="S712"/>
  <c r="A708"/>
  <c r="Q708"/>
  <c r="R708"/>
  <c r="S708"/>
  <c r="A704"/>
  <c r="Q704"/>
  <c r="R704"/>
  <c r="S704"/>
  <c r="A479"/>
  <c r="Q479"/>
  <c r="R479"/>
  <c r="S479"/>
  <c r="A475"/>
  <c r="Q475"/>
  <c r="R475"/>
  <c r="S475"/>
  <c r="A471"/>
  <c r="Q471"/>
  <c r="R471"/>
  <c r="S471"/>
  <c r="A467"/>
  <c r="Q467"/>
  <c r="R467"/>
  <c r="S467"/>
  <c r="A463"/>
  <c r="Q463"/>
  <c r="R463"/>
  <c r="S463"/>
  <c r="A459"/>
  <c r="Q459"/>
  <c r="R459"/>
  <c r="S459"/>
  <c r="A455"/>
  <c r="Q455"/>
  <c r="R455"/>
  <c r="S455"/>
  <c r="A451"/>
  <c r="Q451"/>
  <c r="R451"/>
  <c r="S451"/>
  <c r="A447"/>
  <c r="R447"/>
  <c r="Q447"/>
  <c r="S447"/>
  <c r="A439"/>
  <c r="R439"/>
  <c r="S439"/>
  <c r="Q439"/>
  <c r="A435"/>
  <c r="Q435"/>
  <c r="R435"/>
  <c r="S435"/>
  <c r="A431"/>
  <c r="Q431"/>
  <c r="R431"/>
  <c r="S431"/>
  <c r="A422"/>
  <c r="S422"/>
  <c r="Q422"/>
  <c r="R422"/>
  <c r="A417"/>
  <c r="Q417"/>
  <c r="R417"/>
  <c r="S417"/>
  <c r="A413"/>
  <c r="Q413"/>
  <c r="R413"/>
  <c r="S413"/>
  <c r="A409"/>
  <c r="Q409"/>
  <c r="R409"/>
  <c r="S409"/>
  <c r="A399"/>
  <c r="Q399"/>
  <c r="R399"/>
  <c r="S399"/>
  <c r="A397"/>
  <c r="Q397"/>
  <c r="R397"/>
  <c r="S397"/>
  <c r="A393"/>
  <c r="Q393"/>
  <c r="R393"/>
  <c r="S393"/>
  <c r="A389"/>
  <c r="Q389"/>
  <c r="R389"/>
  <c r="S389"/>
  <c r="A385"/>
  <c r="Q385"/>
  <c r="R385"/>
  <c r="S385"/>
  <c r="A381"/>
  <c r="Q381"/>
  <c r="R381"/>
  <c r="S381"/>
  <c r="A373"/>
  <c r="Q373"/>
  <c r="R373"/>
  <c r="S373"/>
  <c r="A369"/>
  <c r="Q369"/>
  <c r="R369"/>
  <c r="S369"/>
  <c r="A364"/>
  <c r="S364"/>
  <c r="Q364"/>
  <c r="R364"/>
  <c r="A360"/>
  <c r="S360"/>
  <c r="Q360"/>
  <c r="R360"/>
  <c r="A356"/>
  <c r="S356"/>
  <c r="Q356"/>
  <c r="R356"/>
  <c r="A352"/>
  <c r="S352"/>
  <c r="Q352"/>
  <c r="R352"/>
  <c r="A348"/>
  <c r="S348"/>
  <c r="Q348"/>
  <c r="R348"/>
  <c r="A344"/>
  <c r="S344"/>
  <c r="Q344"/>
  <c r="R344"/>
  <c r="A340"/>
  <c r="S340"/>
  <c r="Q340"/>
  <c r="R340"/>
  <c r="A337"/>
  <c r="Q337"/>
  <c r="S337"/>
  <c r="R337"/>
  <c r="A332"/>
  <c r="S332"/>
  <c r="Q332"/>
  <c r="R332"/>
  <c r="A325"/>
  <c r="Q325"/>
  <c r="R325"/>
  <c r="S325"/>
  <c r="A318"/>
  <c r="S318"/>
  <c r="Q318"/>
  <c r="R318"/>
  <c r="A314"/>
  <c r="S314"/>
  <c r="Q314"/>
  <c r="R314"/>
  <c r="A310"/>
  <c r="S310"/>
  <c r="Q310"/>
  <c r="R310"/>
  <c r="A305"/>
  <c r="Q305"/>
  <c r="R305"/>
  <c r="S305"/>
  <c r="A308"/>
  <c r="S308"/>
  <c r="Q308"/>
  <c r="R308"/>
  <c r="A297"/>
  <c r="Q297"/>
  <c r="R297"/>
  <c r="S297"/>
  <c r="A293"/>
  <c r="Q293"/>
  <c r="R293"/>
  <c r="S293"/>
  <c r="A288"/>
  <c r="S288"/>
  <c r="Q288"/>
  <c r="R288"/>
  <c r="A284"/>
  <c r="S284"/>
  <c r="Q284"/>
  <c r="R284"/>
  <c r="A280"/>
  <c r="S280"/>
  <c r="Q280"/>
  <c r="R280"/>
  <c r="A276"/>
  <c r="S276"/>
  <c r="Q276"/>
  <c r="R276"/>
  <c r="A272"/>
  <c r="S272"/>
  <c r="Q272"/>
  <c r="R272"/>
  <c r="A268"/>
  <c r="S268"/>
  <c r="Q268"/>
  <c r="R268"/>
  <c r="A264"/>
  <c r="S264"/>
  <c r="Q264"/>
  <c r="R264"/>
  <c r="A260"/>
  <c r="S260"/>
  <c r="Q260"/>
  <c r="R260"/>
  <c r="A256"/>
  <c r="S256"/>
  <c r="Q256"/>
  <c r="R256"/>
  <c r="A251"/>
  <c r="Q251"/>
  <c r="R251"/>
  <c r="S251"/>
  <c r="A247"/>
  <c r="Q247"/>
  <c r="R247"/>
  <c r="S247"/>
  <c r="A243"/>
  <c r="Q243"/>
  <c r="R243"/>
  <c r="S243"/>
  <c r="A239"/>
  <c r="Q239"/>
  <c r="R239"/>
  <c r="S239"/>
  <c r="A235"/>
  <c r="Q235"/>
  <c r="R235"/>
  <c r="S235"/>
  <c r="A231"/>
  <c r="Q231"/>
  <c r="R231"/>
  <c r="S231"/>
  <c r="A227"/>
  <c r="Q227"/>
  <c r="R227"/>
  <c r="S227"/>
  <c r="A223"/>
  <c r="Q223"/>
  <c r="R223"/>
  <c r="S223"/>
  <c r="A219"/>
  <c r="S219"/>
  <c r="R219"/>
  <c r="Q219"/>
  <c r="A215"/>
  <c r="S215"/>
  <c r="Q215"/>
  <c r="R215"/>
  <c r="A211"/>
  <c r="S211"/>
  <c r="Q211"/>
  <c r="R211"/>
  <c r="A207"/>
  <c r="S207"/>
  <c r="Q207"/>
  <c r="R207"/>
  <c r="A701"/>
  <c r="S701"/>
  <c r="Q701"/>
  <c r="R701"/>
  <c r="A697"/>
  <c r="S697"/>
  <c r="Q697"/>
  <c r="R697"/>
  <c r="A693"/>
  <c r="S693"/>
  <c r="Q693"/>
  <c r="R693"/>
  <c r="A689"/>
  <c r="S689"/>
  <c r="Q689"/>
  <c r="R689"/>
  <c r="A685"/>
  <c r="S685"/>
  <c r="Q685"/>
  <c r="R685"/>
  <c r="A681"/>
  <c r="S681"/>
  <c r="Q681"/>
  <c r="R681"/>
  <c r="A75"/>
  <c r="Q75"/>
  <c r="R75"/>
  <c r="S75"/>
  <c r="A71"/>
  <c r="Q71"/>
  <c r="R71"/>
  <c r="S71"/>
  <c r="A67"/>
  <c r="Q67"/>
  <c r="R67"/>
  <c r="S67"/>
  <c r="A63"/>
  <c r="Q63"/>
  <c r="R63"/>
  <c r="S63"/>
  <c r="A59"/>
  <c r="Q59"/>
  <c r="R59"/>
  <c r="S59"/>
  <c r="A55"/>
  <c r="Q55"/>
  <c r="R55"/>
  <c r="S55"/>
  <c r="A51"/>
  <c r="Q51"/>
  <c r="R51"/>
  <c r="S51"/>
  <c r="A47"/>
  <c r="Q47"/>
  <c r="R47"/>
  <c r="S47"/>
  <c r="A43"/>
  <c r="Q43"/>
  <c r="R43"/>
  <c r="S43"/>
  <c r="A39"/>
  <c r="Q39"/>
  <c r="R39"/>
  <c r="S39"/>
  <c r="A35"/>
  <c r="Q35"/>
  <c r="R35"/>
  <c r="S35"/>
  <c r="A31"/>
  <c r="Q31"/>
  <c r="R31"/>
  <c r="S31"/>
  <c r="A27"/>
  <c r="Q27"/>
  <c r="R27"/>
  <c r="S27"/>
  <c r="A78"/>
  <c r="S78"/>
  <c r="Q78"/>
  <c r="R78"/>
  <c r="A1157"/>
  <c r="R1157"/>
  <c r="S1157"/>
  <c r="Q1157"/>
  <c r="A1009"/>
  <c r="R1009"/>
  <c r="S1009"/>
  <c r="Q1009"/>
  <c r="A985"/>
  <c r="R985"/>
  <c r="S985"/>
  <c r="Q985"/>
  <c r="A942"/>
  <c r="R942"/>
  <c r="S942"/>
  <c r="Q942"/>
  <c r="A933"/>
  <c r="R933"/>
  <c r="S933"/>
  <c r="Q933"/>
  <c r="A915"/>
  <c r="R915"/>
  <c r="S915"/>
  <c r="Q915"/>
  <c r="A903"/>
  <c r="R903"/>
  <c r="S903"/>
  <c r="Q903"/>
  <c r="A887"/>
  <c r="S887"/>
  <c r="Q887"/>
  <c r="R887"/>
  <c r="A876"/>
  <c r="S876"/>
  <c r="Q876"/>
  <c r="R876"/>
  <c r="A820"/>
  <c r="S820"/>
  <c r="Q820"/>
  <c r="R820"/>
  <c r="A719"/>
  <c r="S719"/>
  <c r="Q719"/>
  <c r="R719"/>
  <c r="A728"/>
  <c r="S728"/>
  <c r="Q728"/>
  <c r="R728"/>
  <c r="A705"/>
  <c r="S705"/>
  <c r="Q705"/>
  <c r="R705"/>
  <c r="A472"/>
  <c r="S472"/>
  <c r="Q472"/>
  <c r="R472"/>
  <c r="A460"/>
  <c r="S460"/>
  <c r="Q460"/>
  <c r="R460"/>
  <c r="A448"/>
  <c r="S448"/>
  <c r="Q448"/>
  <c r="R448"/>
  <c r="A423"/>
  <c r="Q423"/>
  <c r="R423"/>
  <c r="S423"/>
  <c r="A414"/>
  <c r="S414"/>
  <c r="Q414"/>
  <c r="R414"/>
  <c r="A375"/>
  <c r="Q375"/>
  <c r="R375"/>
  <c r="S375"/>
  <c r="A386"/>
  <c r="S386"/>
  <c r="Q386"/>
  <c r="R386"/>
  <c r="A366"/>
  <c r="S366"/>
  <c r="Q366"/>
  <c r="R366"/>
  <c r="A353"/>
  <c r="Q353"/>
  <c r="S353"/>
  <c r="R353"/>
  <c r="A341"/>
  <c r="Q341"/>
  <c r="S341"/>
  <c r="R341"/>
  <c r="A326"/>
  <c r="S326"/>
  <c r="Q326"/>
  <c r="R326"/>
  <c r="A311"/>
  <c r="Q311"/>
  <c r="R311"/>
  <c r="S311"/>
  <c r="A299"/>
  <c r="Q299"/>
  <c r="R299"/>
  <c r="S299"/>
  <c r="A285"/>
  <c r="Q285"/>
  <c r="R285"/>
  <c r="S285"/>
  <c r="A257"/>
  <c r="Q257"/>
  <c r="R257"/>
  <c r="S257"/>
  <c r="A244"/>
  <c r="S244"/>
  <c r="Q244"/>
  <c r="R244"/>
  <c r="A236"/>
  <c r="S236"/>
  <c r="Q236"/>
  <c r="R236"/>
  <c r="A224"/>
  <c r="S224"/>
  <c r="Q224"/>
  <c r="R224"/>
  <c r="A208"/>
  <c r="Q208"/>
  <c r="R208"/>
  <c r="S208"/>
  <c r="A698"/>
  <c r="Q698"/>
  <c r="R698"/>
  <c r="S698"/>
  <c r="A682"/>
  <c r="Q682"/>
  <c r="R682"/>
  <c r="S682"/>
  <c r="A64"/>
  <c r="S64"/>
  <c r="Q64"/>
  <c r="R64"/>
  <c r="A52"/>
  <c r="S52"/>
  <c r="Q52"/>
  <c r="R52"/>
  <c r="A44"/>
  <c r="S44"/>
  <c r="Q44"/>
  <c r="R44"/>
  <c r="A32"/>
  <c r="S32"/>
  <c r="Q32"/>
  <c r="R32"/>
  <c r="A79"/>
  <c r="Q79"/>
  <c r="R79"/>
  <c r="S79"/>
  <c r="A1163"/>
  <c r="R1163"/>
  <c r="S1163"/>
  <c r="Q1163"/>
  <c r="A1159"/>
  <c r="R1159"/>
  <c r="S1159"/>
  <c r="Q1159"/>
  <c r="A1155"/>
  <c r="R1155"/>
  <c r="S1155"/>
  <c r="Q1155"/>
  <c r="A1151"/>
  <c r="R1151"/>
  <c r="S1151"/>
  <c r="Q1151"/>
  <c r="A1004"/>
  <c r="R1004"/>
  <c r="S1004"/>
  <c r="Q1004"/>
  <c r="A992"/>
  <c r="R992"/>
  <c r="S992"/>
  <c r="Q992"/>
  <c r="A974"/>
  <c r="R974"/>
  <c r="S974"/>
  <c r="Q974"/>
  <c r="A969"/>
  <c r="R969"/>
  <c r="S969"/>
  <c r="Q969"/>
  <c r="A952"/>
  <c r="R952"/>
  <c r="S952"/>
  <c r="Q952"/>
  <c r="A940"/>
  <c r="R940"/>
  <c r="S940"/>
  <c r="Q940"/>
  <c r="A935"/>
  <c r="R935"/>
  <c r="S935"/>
  <c r="Q935"/>
  <c r="A929"/>
  <c r="R929"/>
  <c r="S929"/>
  <c r="Q929"/>
  <c r="A920"/>
  <c r="R920"/>
  <c r="S920"/>
  <c r="Q920"/>
  <c r="A917"/>
  <c r="R917"/>
  <c r="S917"/>
  <c r="Q917"/>
  <c r="A913"/>
  <c r="R913"/>
  <c r="S913"/>
  <c r="Q913"/>
  <c r="A909"/>
  <c r="R909"/>
  <c r="S909"/>
  <c r="Q909"/>
  <c r="A905"/>
  <c r="R905"/>
  <c r="S905"/>
  <c r="Q905"/>
  <c r="A901"/>
  <c r="S901"/>
  <c r="R901"/>
  <c r="Q901"/>
  <c r="A897"/>
  <c r="S897"/>
  <c r="R897"/>
  <c r="Q897"/>
  <c r="A889"/>
  <c r="S889"/>
  <c r="R889"/>
  <c r="Q889"/>
  <c r="A886"/>
  <c r="S886"/>
  <c r="Q886"/>
  <c r="R886"/>
  <c r="A882"/>
  <c r="S882"/>
  <c r="Q882"/>
  <c r="R882"/>
  <c r="A878"/>
  <c r="S878"/>
  <c r="Q878"/>
  <c r="R878"/>
  <c r="A874"/>
  <c r="S874"/>
  <c r="Q874"/>
  <c r="R874"/>
  <c r="A870"/>
  <c r="S870"/>
  <c r="Q870"/>
  <c r="R870"/>
  <c r="A855"/>
  <c r="S855"/>
  <c r="Q855"/>
  <c r="R855"/>
  <c r="A834"/>
  <c r="S834"/>
  <c r="Q834"/>
  <c r="R834"/>
  <c r="A822"/>
  <c r="S822"/>
  <c r="Q822"/>
  <c r="R822"/>
  <c r="A135"/>
  <c r="Q135"/>
  <c r="R135"/>
  <c r="S135"/>
  <c r="A726"/>
  <c r="S726"/>
  <c r="Q726"/>
  <c r="R726"/>
  <c r="A721"/>
  <c r="S721"/>
  <c r="Q721"/>
  <c r="R721"/>
  <c r="A717"/>
  <c r="S717"/>
  <c r="Q717"/>
  <c r="R717"/>
  <c r="A727"/>
  <c r="Q727"/>
  <c r="R727"/>
  <c r="S727"/>
  <c r="A419"/>
  <c r="Q419"/>
  <c r="R419"/>
  <c r="S419"/>
  <c r="A711"/>
  <c r="S711"/>
  <c r="Q711"/>
  <c r="R711"/>
  <c r="A707"/>
  <c r="S707"/>
  <c r="Q707"/>
  <c r="R707"/>
  <c r="A703"/>
  <c r="S703"/>
  <c r="Q703"/>
  <c r="R703"/>
  <c r="A478"/>
  <c r="S478"/>
  <c r="Q478"/>
  <c r="R478"/>
  <c r="A474"/>
  <c r="S474"/>
  <c r="Q474"/>
  <c r="R474"/>
  <c r="A470"/>
  <c r="S470"/>
  <c r="Q470"/>
  <c r="R470"/>
  <c r="A466"/>
  <c r="S466"/>
  <c r="Q466"/>
  <c r="R466"/>
  <c r="A462"/>
  <c r="S462"/>
  <c r="Q462"/>
  <c r="R462"/>
  <c r="A458"/>
  <c r="S458"/>
  <c r="Q458"/>
  <c r="R458"/>
  <c r="A454"/>
  <c r="S454"/>
  <c r="Q454"/>
  <c r="R454"/>
  <c r="A450"/>
  <c r="S450"/>
  <c r="Q450"/>
  <c r="R450"/>
  <c r="A442"/>
  <c r="Q442"/>
  <c r="S442"/>
  <c r="R442"/>
  <c r="A438"/>
  <c r="S438"/>
  <c r="Q438"/>
  <c r="R438"/>
  <c r="A434"/>
  <c r="S434"/>
  <c r="Q434"/>
  <c r="R434"/>
  <c r="A430"/>
  <c r="S430"/>
  <c r="Q430"/>
  <c r="R430"/>
  <c r="A421"/>
  <c r="Q421"/>
  <c r="R421"/>
  <c r="S421"/>
  <c r="A416"/>
  <c r="S416"/>
  <c r="Q416"/>
  <c r="R416"/>
  <c r="A412"/>
  <c r="S412"/>
  <c r="Q412"/>
  <c r="R412"/>
  <c r="A402"/>
  <c r="S402"/>
  <c r="Q402"/>
  <c r="R402"/>
  <c r="A398"/>
  <c r="S398"/>
  <c r="Q398"/>
  <c r="R398"/>
  <c r="A396"/>
  <c r="S396"/>
  <c r="Q396"/>
  <c r="R396"/>
  <c r="A392"/>
  <c r="S392"/>
  <c r="Q392"/>
  <c r="R392"/>
  <c r="A388"/>
  <c r="S388"/>
  <c r="Q388"/>
  <c r="R388"/>
  <c r="A384"/>
  <c r="S384"/>
  <c r="Q384"/>
  <c r="R384"/>
  <c r="A380"/>
  <c r="S380"/>
  <c r="Q380"/>
  <c r="R380"/>
  <c r="A372"/>
  <c r="S372"/>
  <c r="Q372"/>
  <c r="R372"/>
  <c r="A368"/>
  <c r="S368"/>
  <c r="Q368"/>
  <c r="R368"/>
  <c r="A363"/>
  <c r="Q363"/>
  <c r="S363"/>
  <c r="R363"/>
  <c r="A359"/>
  <c r="Q359"/>
  <c r="S359"/>
  <c r="R359"/>
  <c r="A355"/>
  <c r="Q355"/>
  <c r="S355"/>
  <c r="R355"/>
  <c r="A351"/>
  <c r="Q351"/>
  <c r="S351"/>
  <c r="R351"/>
  <c r="A347"/>
  <c r="Q347"/>
  <c r="S347"/>
  <c r="R347"/>
  <c r="A343"/>
  <c r="Q343"/>
  <c r="S343"/>
  <c r="R343"/>
  <c r="A339"/>
  <c r="Q339"/>
  <c r="S339"/>
  <c r="R339"/>
  <c r="A335"/>
  <c r="Q335"/>
  <c r="S335"/>
  <c r="R335"/>
  <c r="A329"/>
  <c r="Q329"/>
  <c r="R329"/>
  <c r="S329"/>
  <c r="A324"/>
  <c r="S324"/>
  <c r="Q324"/>
  <c r="R324"/>
  <c r="A317"/>
  <c r="Q317"/>
  <c r="R317"/>
  <c r="S317"/>
  <c r="A313"/>
  <c r="Q313"/>
  <c r="R313"/>
  <c r="S313"/>
  <c r="A309"/>
  <c r="Q309"/>
  <c r="R309"/>
  <c r="S309"/>
  <c r="A303"/>
  <c r="Q303"/>
  <c r="R303"/>
  <c r="S303"/>
  <c r="A304"/>
  <c r="S304"/>
  <c r="Q304"/>
  <c r="R304"/>
  <c r="A296"/>
  <c r="S296"/>
  <c r="Q296"/>
  <c r="R296"/>
  <c r="A292"/>
  <c r="S292"/>
  <c r="Q292"/>
  <c r="R292"/>
  <c r="A287"/>
  <c r="Q287"/>
  <c r="R287"/>
  <c r="S287"/>
  <c r="A283"/>
  <c r="Q283"/>
  <c r="R283"/>
  <c r="S283"/>
  <c r="A279"/>
  <c r="Q279"/>
  <c r="R279"/>
  <c r="S279"/>
  <c r="A275"/>
  <c r="Q275"/>
  <c r="R275"/>
  <c r="S275"/>
  <c r="A271"/>
  <c r="Q271"/>
  <c r="R271"/>
  <c r="S271"/>
  <c r="A267"/>
  <c r="Q267"/>
  <c r="R267"/>
  <c r="S267"/>
  <c r="A263"/>
  <c r="Q263"/>
  <c r="R263"/>
  <c r="S263"/>
  <c r="A259"/>
  <c r="Q259"/>
  <c r="R259"/>
  <c r="S259"/>
  <c r="A254"/>
  <c r="S254"/>
  <c r="Q254"/>
  <c r="R254"/>
  <c r="A250"/>
  <c r="S250"/>
  <c r="Q250"/>
  <c r="R250"/>
  <c r="A246"/>
  <c r="S246"/>
  <c r="Q246"/>
  <c r="R246"/>
  <c r="A242"/>
  <c r="S242"/>
  <c r="Q242"/>
  <c r="R242"/>
  <c r="A238"/>
  <c r="S238"/>
  <c r="Q238"/>
  <c r="R238"/>
  <c r="A234"/>
  <c r="S234"/>
  <c r="Q234"/>
  <c r="R234"/>
  <c r="A230"/>
  <c r="S230"/>
  <c r="Q230"/>
  <c r="R230"/>
  <c r="A226"/>
  <c r="S226"/>
  <c r="Q226"/>
  <c r="R226"/>
  <c r="A222"/>
  <c r="S222"/>
  <c r="Q222"/>
  <c r="R222"/>
  <c r="A218"/>
  <c r="Q218"/>
  <c r="R218"/>
  <c r="S218"/>
  <c r="A214"/>
  <c r="Q214"/>
  <c r="R214"/>
  <c r="S214"/>
  <c r="A210"/>
  <c r="Q210"/>
  <c r="R210"/>
  <c r="S210"/>
  <c r="A206"/>
  <c r="Q206"/>
  <c r="R206"/>
  <c r="S206"/>
  <c r="A700"/>
  <c r="Q700"/>
  <c r="R700"/>
  <c r="S700"/>
  <c r="A696"/>
  <c r="Q696"/>
  <c r="R696"/>
  <c r="S696"/>
  <c r="A692"/>
  <c r="Q692"/>
  <c r="R692"/>
  <c r="S692"/>
  <c r="A688"/>
  <c r="Q688"/>
  <c r="R688"/>
  <c r="S688"/>
  <c r="A684"/>
  <c r="Q684"/>
  <c r="R684"/>
  <c r="S684"/>
  <c r="A680"/>
  <c r="Q680"/>
  <c r="R680"/>
  <c r="S680"/>
  <c r="A74"/>
  <c r="S74"/>
  <c r="Q74"/>
  <c r="R74"/>
  <c r="A70"/>
  <c r="S70"/>
  <c r="Q70"/>
  <c r="R70"/>
  <c r="A66"/>
  <c r="S66"/>
  <c r="Q66"/>
  <c r="R66"/>
  <c r="A62"/>
  <c r="S62"/>
  <c r="Q62"/>
  <c r="R62"/>
  <c r="A58"/>
  <c r="S58"/>
  <c r="Q58"/>
  <c r="R58"/>
  <c r="A54"/>
  <c r="S54"/>
  <c r="Q54"/>
  <c r="R54"/>
  <c r="A50"/>
  <c r="S50"/>
  <c r="Q50"/>
  <c r="R50"/>
  <c r="A46"/>
  <c r="S46"/>
  <c r="Q46"/>
  <c r="R46"/>
  <c r="A42"/>
  <c r="S42"/>
  <c r="Q42"/>
  <c r="R42"/>
  <c r="A38"/>
  <c r="S38"/>
  <c r="Q38"/>
  <c r="R38"/>
  <c r="A34"/>
  <c r="S34"/>
  <c r="Q34"/>
  <c r="R34"/>
  <c r="A30"/>
  <c r="S30"/>
  <c r="Q30"/>
  <c r="R30"/>
  <c r="A26"/>
  <c r="S26"/>
  <c r="Q26"/>
  <c r="R26"/>
  <c r="A77"/>
  <c r="Q77"/>
  <c r="R77"/>
  <c r="S77"/>
  <c r="A1161"/>
  <c r="R1161"/>
  <c r="S1161"/>
  <c r="Q1161"/>
  <c r="A1149"/>
  <c r="R1149"/>
  <c r="S1149"/>
  <c r="Q1149"/>
  <c r="A996"/>
  <c r="R996"/>
  <c r="S996"/>
  <c r="Q996"/>
  <c r="A937"/>
  <c r="R937"/>
  <c r="S937"/>
  <c r="Q937"/>
  <c r="A829"/>
  <c r="R829"/>
  <c r="S829"/>
  <c r="Q829"/>
  <c r="A907"/>
  <c r="R907"/>
  <c r="S907"/>
  <c r="Q907"/>
  <c r="A891"/>
  <c r="S891"/>
  <c r="R891"/>
  <c r="Q891"/>
  <c r="A880"/>
  <c r="S880"/>
  <c r="Q880"/>
  <c r="R880"/>
  <c r="A868"/>
  <c r="S868"/>
  <c r="Q868"/>
  <c r="R868"/>
  <c r="A131"/>
  <c r="Q131"/>
  <c r="R131"/>
  <c r="S131"/>
  <c r="A715"/>
  <c r="S715"/>
  <c r="Q715"/>
  <c r="R715"/>
  <c r="A713"/>
  <c r="S713"/>
  <c r="Q713"/>
  <c r="R713"/>
  <c r="A480"/>
  <c r="S480"/>
  <c r="Q480"/>
  <c r="R480"/>
  <c r="A468"/>
  <c r="S468"/>
  <c r="Q468"/>
  <c r="R468"/>
  <c r="A456"/>
  <c r="S456"/>
  <c r="Q456"/>
  <c r="R456"/>
  <c r="A440"/>
  <c r="Q440"/>
  <c r="R440"/>
  <c r="S440"/>
  <c r="A432"/>
  <c r="S432"/>
  <c r="Q432"/>
  <c r="R432"/>
  <c r="A410"/>
  <c r="S410"/>
  <c r="Q410"/>
  <c r="R410"/>
  <c r="A394"/>
  <c r="S394"/>
  <c r="Q394"/>
  <c r="R394"/>
  <c r="A374"/>
  <c r="S374"/>
  <c r="R374"/>
  <c r="Q374"/>
  <c r="A361"/>
  <c r="Q361"/>
  <c r="S361"/>
  <c r="R361"/>
  <c r="A349"/>
  <c r="Q349"/>
  <c r="S349"/>
  <c r="R349"/>
  <c r="A336"/>
  <c r="S336"/>
  <c r="Q336"/>
  <c r="R336"/>
  <c r="A319"/>
  <c r="Q319"/>
  <c r="R319"/>
  <c r="S319"/>
  <c r="A306"/>
  <c r="S306"/>
  <c r="Q306"/>
  <c r="R306"/>
  <c r="A289"/>
  <c r="Q289"/>
  <c r="R289"/>
  <c r="S289"/>
  <c r="A277"/>
  <c r="Q277"/>
  <c r="R277"/>
  <c r="S277"/>
  <c r="A273"/>
  <c r="Q273"/>
  <c r="R273"/>
  <c r="S273"/>
  <c r="A265"/>
  <c r="Q265"/>
  <c r="R265"/>
  <c r="S265"/>
  <c r="A252"/>
  <c r="S252"/>
  <c r="Q252"/>
  <c r="R252"/>
  <c r="A240"/>
  <c r="S240"/>
  <c r="Q240"/>
  <c r="R240"/>
  <c r="A228"/>
  <c r="S228"/>
  <c r="Q228"/>
  <c r="R228"/>
  <c r="A216"/>
  <c r="Q216"/>
  <c r="S216"/>
  <c r="R216"/>
  <c r="A702"/>
  <c r="Q702"/>
  <c r="R702"/>
  <c r="S702"/>
  <c r="A690"/>
  <c r="Q690"/>
  <c r="R690"/>
  <c r="S690"/>
  <c r="A678"/>
  <c r="Q678"/>
  <c r="R678"/>
  <c r="S678"/>
  <c r="A68"/>
  <c r="S68"/>
  <c r="Q68"/>
  <c r="R68"/>
  <c r="A56"/>
  <c r="S56"/>
  <c r="Q56"/>
  <c r="R56"/>
  <c r="A40"/>
  <c r="S40"/>
  <c r="Q40"/>
  <c r="R40"/>
  <c r="A28"/>
  <c r="S28"/>
  <c r="Q28"/>
  <c r="R28"/>
  <c r="A1166"/>
  <c r="Q1166"/>
  <c r="R1166"/>
  <c r="S1166"/>
  <c r="A1162"/>
  <c r="Q1162"/>
  <c r="R1162"/>
  <c r="S1162"/>
  <c r="A1158"/>
  <c r="Q1158"/>
  <c r="R1158"/>
  <c r="S1158"/>
  <c r="A1154"/>
  <c r="Q1154"/>
  <c r="R1154"/>
  <c r="S1154"/>
  <c r="A1150"/>
  <c r="Q1150"/>
  <c r="R1150"/>
  <c r="S1150"/>
  <c r="A1008"/>
  <c r="Q1008"/>
  <c r="R1008"/>
  <c r="S1008"/>
  <c r="A1003"/>
  <c r="Q1003"/>
  <c r="R1003"/>
  <c r="S1003"/>
  <c r="A968"/>
  <c r="Q968"/>
  <c r="R968"/>
  <c r="S968"/>
  <c r="A951"/>
  <c r="Q951"/>
  <c r="R951"/>
  <c r="S951"/>
  <c r="A939"/>
  <c r="Q939"/>
  <c r="R939"/>
  <c r="S939"/>
  <c r="A923"/>
  <c r="Q923"/>
  <c r="R923"/>
  <c r="S923"/>
  <c r="A919"/>
  <c r="Q919"/>
  <c r="R919"/>
  <c r="S919"/>
  <c r="A916"/>
  <c r="Q916"/>
  <c r="R916"/>
  <c r="S916"/>
  <c r="A912"/>
  <c r="Q912"/>
  <c r="R912"/>
  <c r="S912"/>
  <c r="A908"/>
  <c r="Q908"/>
  <c r="R908"/>
  <c r="S908"/>
  <c r="A904"/>
  <c r="Q904"/>
  <c r="R904"/>
  <c r="S904"/>
  <c r="A900"/>
  <c r="Q900"/>
  <c r="R900"/>
  <c r="S900"/>
  <c r="A896"/>
  <c r="Q896"/>
  <c r="S896"/>
  <c r="R896"/>
  <c r="A888"/>
  <c r="Q888"/>
  <c r="R888"/>
  <c r="S888"/>
  <c r="A885"/>
  <c r="Q885"/>
  <c r="R885"/>
  <c r="S885"/>
  <c r="A881"/>
  <c r="Q881"/>
  <c r="R881"/>
  <c r="S881"/>
  <c r="A877"/>
  <c r="Q877"/>
  <c r="R877"/>
  <c r="S877"/>
  <c r="A873"/>
  <c r="Q873"/>
  <c r="R873"/>
  <c r="S873"/>
  <c r="A869"/>
  <c r="Q869"/>
  <c r="R869"/>
  <c r="S869"/>
  <c r="A854"/>
  <c r="Q854"/>
  <c r="R854"/>
  <c r="S854"/>
  <c r="A821"/>
  <c r="Q821"/>
  <c r="R821"/>
  <c r="S821"/>
  <c r="A132"/>
  <c r="R132"/>
  <c r="S132"/>
  <c r="Q132"/>
  <c r="A725"/>
  <c r="Q725"/>
  <c r="R725"/>
  <c r="S725"/>
  <c r="A720"/>
  <c r="Q720"/>
  <c r="R720"/>
  <c r="S720"/>
  <c r="A716"/>
  <c r="Q716"/>
  <c r="R716"/>
  <c r="S716"/>
  <c r="A729"/>
  <c r="Q729"/>
  <c r="R729"/>
  <c r="S729"/>
  <c r="A408"/>
  <c r="S408"/>
  <c r="Q408"/>
  <c r="R408"/>
  <c r="A710"/>
  <c r="Q710"/>
  <c r="R710"/>
  <c r="S710"/>
  <c r="A706"/>
  <c r="Q706"/>
  <c r="R706"/>
  <c r="S706"/>
  <c r="A481"/>
  <c r="Q481"/>
  <c r="R481"/>
  <c r="S481"/>
  <c r="A477"/>
  <c r="Q477"/>
  <c r="R477"/>
  <c r="S477"/>
  <c r="A473"/>
  <c r="Q473"/>
  <c r="R473"/>
  <c r="S473"/>
  <c r="A469"/>
  <c r="Q469"/>
  <c r="R469"/>
  <c r="S469"/>
  <c r="A465"/>
  <c r="Q465"/>
  <c r="R465"/>
  <c r="S465"/>
  <c r="A461"/>
  <c r="Q461"/>
  <c r="R461"/>
  <c r="S461"/>
  <c r="A457"/>
  <c r="Q457"/>
  <c r="R457"/>
  <c r="S457"/>
  <c r="A453"/>
  <c r="Q453"/>
  <c r="R453"/>
  <c r="S453"/>
  <c r="A449"/>
  <c r="Q449"/>
  <c r="R449"/>
  <c r="S449"/>
  <c r="A441"/>
  <c r="R441"/>
  <c r="S441"/>
  <c r="Q441"/>
  <c r="A437"/>
  <c r="Q437"/>
  <c r="R437"/>
  <c r="S437"/>
  <c r="A433"/>
  <c r="Q433"/>
  <c r="R433"/>
  <c r="S433"/>
  <c r="A424"/>
  <c r="S424"/>
  <c r="Q424"/>
  <c r="R424"/>
  <c r="A420"/>
  <c r="S420"/>
  <c r="Q420"/>
  <c r="R420"/>
  <c r="A415"/>
  <c r="Q415"/>
  <c r="R415"/>
  <c r="S415"/>
  <c r="A411"/>
  <c r="Q411"/>
  <c r="R411"/>
  <c r="S411"/>
  <c r="A401"/>
  <c r="Q401"/>
  <c r="R401"/>
  <c r="S401"/>
  <c r="A378"/>
  <c r="S378"/>
  <c r="Q378"/>
  <c r="R378"/>
  <c r="A395"/>
  <c r="Q395"/>
  <c r="R395"/>
  <c r="S395"/>
  <c r="A391"/>
  <c r="Q391"/>
  <c r="R391"/>
  <c r="S391"/>
  <c r="A387"/>
  <c r="Q387"/>
  <c r="R387"/>
  <c r="S387"/>
  <c r="A383"/>
  <c r="Q383"/>
  <c r="R383"/>
  <c r="S383"/>
  <c r="A379"/>
  <c r="Q379"/>
  <c r="R379"/>
  <c r="S379"/>
  <c r="A371"/>
  <c r="Q371"/>
  <c r="R371"/>
  <c r="S371"/>
  <c r="A367"/>
  <c r="Q367"/>
  <c r="R367"/>
  <c r="S367"/>
  <c r="A362"/>
  <c r="S362"/>
  <c r="Q362"/>
  <c r="R362"/>
  <c r="A358"/>
  <c r="S358"/>
  <c r="Q358"/>
  <c r="R358"/>
  <c r="A354"/>
  <c r="S354"/>
  <c r="Q354"/>
  <c r="R354"/>
  <c r="A350"/>
  <c r="S350"/>
  <c r="Q350"/>
  <c r="R350"/>
  <c r="A346"/>
  <c r="S346"/>
  <c r="Q346"/>
  <c r="R346"/>
  <c r="A342"/>
  <c r="S342"/>
  <c r="Q342"/>
  <c r="R342"/>
  <c r="A338"/>
  <c r="S338"/>
  <c r="Q338"/>
  <c r="R338"/>
  <c r="A334"/>
  <c r="S334"/>
  <c r="Q334"/>
  <c r="R334"/>
  <c r="A327"/>
  <c r="Q327"/>
  <c r="R327"/>
  <c r="S327"/>
  <c r="A323"/>
  <c r="Q323"/>
  <c r="R323"/>
  <c r="S323"/>
  <c r="A316"/>
  <c r="S316"/>
  <c r="Q316"/>
  <c r="R316"/>
  <c r="A312"/>
  <c r="S312"/>
  <c r="Q312"/>
  <c r="R312"/>
  <c r="A307"/>
  <c r="Q307"/>
  <c r="R307"/>
  <c r="S307"/>
  <c r="A302"/>
  <c r="S302"/>
  <c r="Q302"/>
  <c r="R302"/>
  <c r="A300"/>
  <c r="S300"/>
  <c r="Q300"/>
  <c r="R300"/>
  <c r="A295"/>
  <c r="Q295"/>
  <c r="R295"/>
  <c r="S295"/>
  <c r="A291"/>
  <c r="Q291"/>
  <c r="R291"/>
  <c r="S291"/>
  <c r="A286"/>
  <c r="S286"/>
  <c r="Q286"/>
  <c r="R286"/>
  <c r="A282"/>
  <c r="S282"/>
  <c r="Q282"/>
  <c r="R282"/>
  <c r="A278"/>
  <c r="S278"/>
  <c r="Q278"/>
  <c r="R278"/>
  <c r="A274"/>
  <c r="S274"/>
  <c r="Q274"/>
  <c r="R274"/>
  <c r="A270"/>
  <c r="S270"/>
  <c r="Q270"/>
  <c r="R270"/>
  <c r="A266"/>
  <c r="S266"/>
  <c r="Q266"/>
  <c r="R266"/>
  <c r="A262"/>
  <c r="S262"/>
  <c r="Q262"/>
  <c r="R262"/>
  <c r="A258"/>
  <c r="S258"/>
  <c r="Q258"/>
  <c r="R258"/>
  <c r="A253"/>
  <c r="Q253"/>
  <c r="R253"/>
  <c r="S253"/>
  <c r="A249"/>
  <c r="Q249"/>
  <c r="R249"/>
  <c r="S249"/>
  <c r="A245"/>
  <c r="Q245"/>
  <c r="R245"/>
  <c r="S245"/>
  <c r="A241"/>
  <c r="Q241"/>
  <c r="R241"/>
  <c r="S241"/>
  <c r="A237"/>
  <c r="Q237"/>
  <c r="R237"/>
  <c r="S237"/>
  <c r="A233"/>
  <c r="Q233"/>
  <c r="R233"/>
  <c r="S233"/>
  <c r="A229"/>
  <c r="Q229"/>
  <c r="R229"/>
  <c r="S229"/>
  <c r="A225"/>
  <c r="Q225"/>
  <c r="R225"/>
  <c r="S225"/>
  <c r="A221"/>
  <c r="Q221"/>
  <c r="R221"/>
  <c r="S221"/>
  <c r="A217"/>
  <c r="S217"/>
  <c r="R217"/>
  <c r="Q217"/>
  <c r="A213"/>
  <c r="S213"/>
  <c r="Q213"/>
  <c r="R213"/>
  <c r="A209"/>
  <c r="S209"/>
  <c r="Q209"/>
  <c r="R209"/>
  <c r="A205"/>
  <c r="S205"/>
  <c r="Q205"/>
  <c r="R205"/>
  <c r="A699"/>
  <c r="S699"/>
  <c r="Q699"/>
  <c r="R699"/>
  <c r="A695"/>
  <c r="S695"/>
  <c r="Q695"/>
  <c r="R695"/>
  <c r="A691"/>
  <c r="S691"/>
  <c r="Q691"/>
  <c r="R691"/>
  <c r="A687"/>
  <c r="S687"/>
  <c r="Q687"/>
  <c r="R687"/>
  <c r="A683"/>
  <c r="S683"/>
  <c r="Q683"/>
  <c r="R683"/>
  <c r="A679"/>
  <c r="S679"/>
  <c r="Q679"/>
  <c r="R679"/>
  <c r="A73"/>
  <c r="Q73"/>
  <c r="R73"/>
  <c r="S73"/>
  <c r="A69"/>
  <c r="Q69"/>
  <c r="R69"/>
  <c r="S69"/>
  <c r="A65"/>
  <c r="Q65"/>
  <c r="R65"/>
  <c r="S65"/>
  <c r="A61"/>
  <c r="Q61"/>
  <c r="R61"/>
  <c r="S61"/>
  <c r="A57"/>
  <c r="Q57"/>
  <c r="R57"/>
  <c r="S57"/>
  <c r="A53"/>
  <c r="Q53"/>
  <c r="R53"/>
  <c r="S53"/>
  <c r="A49"/>
  <c r="Q49"/>
  <c r="R49"/>
  <c r="S49"/>
  <c r="A45"/>
  <c r="Q45"/>
  <c r="R45"/>
  <c r="S45"/>
  <c r="A41"/>
  <c r="Q41"/>
  <c r="R41"/>
  <c r="S41"/>
  <c r="A37"/>
  <c r="Q37"/>
  <c r="R37"/>
  <c r="S37"/>
  <c r="A33"/>
  <c r="Q33"/>
  <c r="R33"/>
  <c r="S33"/>
  <c r="A29"/>
  <c r="Q29"/>
  <c r="R29"/>
  <c r="S29"/>
  <c r="A25"/>
  <c r="Q25"/>
  <c r="R25"/>
  <c r="S25"/>
  <c r="A76"/>
  <c r="S76"/>
  <c r="Q76"/>
  <c r="R76"/>
  <c r="M203"/>
  <c r="C203"/>
  <c r="AD203" s="1"/>
  <c r="M186"/>
  <c r="M184"/>
  <c r="C186"/>
  <c r="AD186" s="1"/>
  <c r="M185"/>
  <c r="C185"/>
  <c r="AD185" s="1"/>
  <c r="C184"/>
  <c r="AD184" s="1"/>
  <c r="J115"/>
  <c r="B186" l="1"/>
  <c r="B185"/>
  <c r="B203"/>
  <c r="B184"/>
  <c r="M100"/>
  <c r="M101"/>
  <c r="M102"/>
  <c r="M103"/>
  <c r="M99"/>
  <c r="A203" l="1"/>
  <c r="S203"/>
  <c r="Q203"/>
  <c r="R203"/>
  <c r="A185"/>
  <c r="S185"/>
  <c r="Q185"/>
  <c r="R185"/>
  <c r="A186"/>
  <c r="Q186"/>
  <c r="R186"/>
  <c r="S186"/>
  <c r="A184"/>
  <c r="Q184"/>
  <c r="R184"/>
  <c r="S184"/>
  <c r="C445"/>
  <c r="AD445" s="1"/>
  <c r="C446"/>
  <c r="AD446" s="1"/>
  <c r="M445"/>
  <c r="M244"/>
  <c r="M243"/>
  <c r="M443"/>
  <c r="M444"/>
  <c r="M447"/>
  <c r="M376"/>
  <c r="M377"/>
  <c r="M425"/>
  <c r="M426"/>
  <c r="M427"/>
  <c r="M428"/>
  <c r="M403"/>
  <c r="M404"/>
  <c r="M405"/>
  <c r="M406"/>
  <c r="C404"/>
  <c r="AD404" s="1"/>
  <c r="C405"/>
  <c r="AD405" s="1"/>
  <c r="C406"/>
  <c r="AD406" s="1"/>
  <c r="C407"/>
  <c r="AD407" s="1"/>
  <c r="C425"/>
  <c r="AD425" s="1"/>
  <c r="C426"/>
  <c r="AD426" s="1"/>
  <c r="C427"/>
  <c r="AD427" s="1"/>
  <c r="C428"/>
  <c r="AD428" s="1"/>
  <c r="C429"/>
  <c r="AD429" s="1"/>
  <c r="C376"/>
  <c r="AD376" s="1"/>
  <c r="C377"/>
  <c r="AD377" s="1"/>
  <c r="C443"/>
  <c r="AD443" s="1"/>
  <c r="C444"/>
  <c r="AD444" s="1"/>
  <c r="C403"/>
  <c r="AD403" s="1"/>
  <c r="B376" l="1"/>
  <c r="B443"/>
  <c r="B403"/>
  <c r="B426"/>
  <c r="B405"/>
  <c r="B444"/>
  <c r="B429"/>
  <c r="B425"/>
  <c r="B404"/>
  <c r="B428"/>
  <c r="B446"/>
  <c r="B407"/>
  <c r="B377"/>
  <c r="B427"/>
  <c r="B406"/>
  <c r="B445"/>
  <c r="A406" l="1"/>
  <c r="S406"/>
  <c r="Q406"/>
  <c r="R406"/>
  <c r="A446"/>
  <c r="R446"/>
  <c r="S446"/>
  <c r="Q446"/>
  <c r="A429"/>
  <c r="Q429"/>
  <c r="R429"/>
  <c r="S429"/>
  <c r="A403"/>
  <c r="Q403"/>
  <c r="R403"/>
  <c r="S403"/>
  <c r="A427"/>
  <c r="Q427"/>
  <c r="R427"/>
  <c r="S427"/>
  <c r="A428"/>
  <c r="S428"/>
  <c r="Q428"/>
  <c r="R428"/>
  <c r="A444"/>
  <c r="S444"/>
  <c r="Q444"/>
  <c r="R444"/>
  <c r="A443"/>
  <c r="R443"/>
  <c r="Q443"/>
  <c r="S443"/>
  <c r="A377"/>
  <c r="Q377"/>
  <c r="R377"/>
  <c r="S377"/>
  <c r="A404"/>
  <c r="S404"/>
  <c r="Q404"/>
  <c r="R404"/>
  <c r="A405"/>
  <c r="Q405"/>
  <c r="R405"/>
  <c r="S405"/>
  <c r="A376"/>
  <c r="S376"/>
  <c r="Q376"/>
  <c r="R376"/>
  <c r="A445"/>
  <c r="R445"/>
  <c r="S445"/>
  <c r="Q445"/>
  <c r="A407"/>
  <c r="Q407"/>
  <c r="R407"/>
  <c r="S407"/>
  <c r="A425"/>
  <c r="Q425"/>
  <c r="R425"/>
  <c r="S425"/>
  <c r="A426"/>
  <c r="S426"/>
  <c r="Q426"/>
  <c r="R426"/>
  <c r="U11"/>
  <c r="U12"/>
  <c r="U13"/>
  <c r="U14"/>
  <c r="U15"/>
  <c r="U16"/>
  <c r="U17"/>
  <c r="U18"/>
  <c r="U19"/>
  <c r="U10"/>
  <c r="V11"/>
  <c r="V12"/>
  <c r="V13"/>
  <c r="V14"/>
  <c r="V15"/>
  <c r="V16"/>
  <c r="V17"/>
  <c r="V18"/>
  <c r="V19"/>
  <c r="V10"/>
  <c r="T11"/>
  <c r="T12"/>
  <c r="T13"/>
  <c r="T14"/>
  <c r="T15"/>
  <c r="T16"/>
  <c r="T17"/>
  <c r="T18"/>
  <c r="T19"/>
  <c r="T10"/>
  <c r="I6" i="43"/>
  <c r="M430" i="34"/>
  <c r="M431"/>
  <c r="M432"/>
  <c r="M433"/>
  <c r="M434"/>
  <c r="M435"/>
  <c r="M436"/>
  <c r="M437"/>
  <c r="M466"/>
  <c r="M378"/>
  <c r="M452"/>
  <c r="M453"/>
  <c r="M454"/>
  <c r="M455"/>
  <c r="M424"/>
  <c r="M450"/>
  <c r="M375"/>
  <c r="M442"/>
  <c r="M402"/>
  <c r="T1038" l="1"/>
  <c r="V1035"/>
  <c r="T1034"/>
  <c r="T1032"/>
  <c r="U1018"/>
  <c r="U1057"/>
  <c r="U1055"/>
  <c r="U1053"/>
  <c r="T1052"/>
  <c r="V1050"/>
  <c r="U1049"/>
  <c r="T1048"/>
  <c r="V1046"/>
  <c r="U1045"/>
  <c r="T1044"/>
  <c r="T1042"/>
  <c r="T1062"/>
  <c r="U1035"/>
  <c r="U1033"/>
  <c r="T1018"/>
  <c r="V1013"/>
  <c r="T1057"/>
  <c r="U1054"/>
  <c r="T1053"/>
  <c r="V1051"/>
  <c r="U1050"/>
  <c r="T1049"/>
  <c r="V1047"/>
  <c r="U1046"/>
  <c r="T1045"/>
  <c r="U1043"/>
  <c r="U1061"/>
  <c r="U1039"/>
  <c r="T1035"/>
  <c r="V1034"/>
  <c r="T1033"/>
  <c r="U1025"/>
  <c r="U1013"/>
  <c r="U1056"/>
  <c r="T1054"/>
  <c r="V1052"/>
  <c r="U1051"/>
  <c r="T1050"/>
  <c r="V1048"/>
  <c r="U1047"/>
  <c r="T1046"/>
  <c r="V1044"/>
  <c r="T1043"/>
  <c r="U1063"/>
  <c r="T1061"/>
  <c r="U1038"/>
  <c r="U1034"/>
  <c r="U1032"/>
  <c r="V1018"/>
  <c r="T1013"/>
  <c r="T1056"/>
  <c r="V1053"/>
  <c r="U1052"/>
  <c r="T1051"/>
  <c r="V1049"/>
  <c r="U1048"/>
  <c r="T1047"/>
  <c r="V1045"/>
  <c r="U1044"/>
  <c r="U1042"/>
  <c r="U1062"/>
  <c r="U1059"/>
  <c r="V1056"/>
  <c r="T1060"/>
  <c r="V1057"/>
  <c r="T1063"/>
  <c r="V1060"/>
  <c r="V1063"/>
  <c r="U1041"/>
  <c r="V1040"/>
  <c r="V1038"/>
  <c r="V1037"/>
  <c r="V1021"/>
  <c r="V1023"/>
  <c r="V1016"/>
  <c r="V1031"/>
  <c r="V1027"/>
  <c r="U1029"/>
  <c r="T1026"/>
  <c r="V1025"/>
  <c r="T1055"/>
  <c r="V1062"/>
  <c r="T1059"/>
  <c r="U1064"/>
  <c r="V1064"/>
  <c r="T1065"/>
  <c r="V1041"/>
  <c r="T1040"/>
  <c r="U1036"/>
  <c r="T1021"/>
  <c r="T1023"/>
  <c r="T1016"/>
  <c r="V1033"/>
  <c r="T1029"/>
  <c r="V1028"/>
  <c r="V1030"/>
  <c r="T1027"/>
  <c r="U1027"/>
  <c r="V1019"/>
  <c r="V1055"/>
  <c r="T1064"/>
  <c r="U1060"/>
  <c r="V1065"/>
  <c r="U1058"/>
  <c r="V1058"/>
  <c r="V1042"/>
  <c r="T1041"/>
  <c r="T1039"/>
  <c r="T1037"/>
  <c r="V1036"/>
  <c r="U1021"/>
  <c r="U1023"/>
  <c r="U1016"/>
  <c r="V1032"/>
  <c r="T1031"/>
  <c r="U1028"/>
  <c r="V1026"/>
  <c r="V1029"/>
  <c r="U1030"/>
  <c r="T1019"/>
  <c r="V1054"/>
  <c r="U1065"/>
  <c r="V1061"/>
  <c r="T1058"/>
  <c r="V1059"/>
  <c r="V1043"/>
  <c r="U1040"/>
  <c r="V1039"/>
  <c r="U1037"/>
  <c r="T1036"/>
  <c r="U1031"/>
  <c r="U1026"/>
  <c r="T1028"/>
  <c r="T1030"/>
  <c r="T1025"/>
  <c r="U1019"/>
  <c r="U1022"/>
  <c r="V1024"/>
  <c r="T1020"/>
  <c r="U1015"/>
  <c r="V1014"/>
  <c r="T1014"/>
  <c r="T1011"/>
  <c r="V1022"/>
  <c r="T1017"/>
  <c r="U1020"/>
  <c r="V1015"/>
  <c r="T1024"/>
  <c r="U1017"/>
  <c r="V1020"/>
  <c r="T1015"/>
  <c r="U1014"/>
  <c r="U1011"/>
  <c r="T1022"/>
  <c r="U1024"/>
  <c r="V1017"/>
  <c r="V1011"/>
  <c r="V1012"/>
  <c r="U1002"/>
  <c r="V1001"/>
  <c r="T997"/>
  <c r="U1012"/>
  <c r="U1007"/>
  <c r="V1002"/>
  <c r="T1001"/>
  <c r="U999"/>
  <c r="V998"/>
  <c r="T998"/>
  <c r="V1007"/>
  <c r="T1002"/>
  <c r="U997"/>
  <c r="V999"/>
  <c r="T1012"/>
  <c r="T1007"/>
  <c r="U1001"/>
  <c r="V997"/>
  <c r="T999"/>
  <c r="U998"/>
  <c r="T1009"/>
  <c r="V1006"/>
  <c r="V996"/>
  <c r="V1003"/>
  <c r="U1005"/>
  <c r="T1004"/>
  <c r="U1009"/>
  <c r="T1006"/>
  <c r="T1008"/>
  <c r="T1003"/>
  <c r="V1005"/>
  <c r="V1009"/>
  <c r="T996"/>
  <c r="U1008"/>
  <c r="U1003"/>
  <c r="U1004"/>
  <c r="U1006"/>
  <c r="U996"/>
  <c r="V1008"/>
  <c r="T1005"/>
  <c r="V1004"/>
  <c r="V932"/>
  <c r="T892"/>
  <c r="U932"/>
  <c r="T932"/>
  <c r="U892"/>
  <c r="V892"/>
  <c r="U928"/>
  <c r="V927"/>
  <c r="U925"/>
  <c r="V924"/>
  <c r="T894"/>
  <c r="U895"/>
  <c r="V928"/>
  <c r="T927"/>
  <c r="T926"/>
  <c r="T925"/>
  <c r="T924"/>
  <c r="T893"/>
  <c r="U894"/>
  <c r="V895"/>
  <c r="T928"/>
  <c r="U926"/>
  <c r="V925"/>
  <c r="U893"/>
  <c r="V894"/>
  <c r="U927"/>
  <c r="V926"/>
  <c r="U924"/>
  <c r="V893"/>
  <c r="T895"/>
  <c r="U828"/>
  <c r="V828"/>
  <c r="T828"/>
  <c r="T877"/>
  <c r="T907"/>
  <c r="U918"/>
  <c r="V910"/>
  <c r="T818"/>
  <c r="V920"/>
  <c r="T913"/>
  <c r="U901"/>
  <c r="V889"/>
  <c r="T886"/>
  <c r="V919"/>
  <c r="T916"/>
  <c r="U912"/>
  <c r="V904"/>
  <c r="T900"/>
  <c r="U896"/>
  <c r="V885"/>
  <c r="T881"/>
  <c r="V829"/>
  <c r="T899"/>
  <c r="U891"/>
  <c r="V887"/>
  <c r="T915"/>
  <c r="V902"/>
  <c r="T921"/>
  <c r="U914"/>
  <c r="V906"/>
  <c r="T883"/>
  <c r="V929"/>
  <c r="T917"/>
  <c r="U897"/>
  <c r="V882"/>
  <c r="T922"/>
  <c r="U907"/>
  <c r="V918"/>
  <c r="T898"/>
  <c r="U818"/>
  <c r="T920"/>
  <c r="U909"/>
  <c r="V901"/>
  <c r="T889"/>
  <c r="V923"/>
  <c r="T919"/>
  <c r="U916"/>
  <c r="V908"/>
  <c r="T904"/>
  <c r="U900"/>
  <c r="V888"/>
  <c r="T885"/>
  <c r="U881"/>
  <c r="T911"/>
  <c r="U899"/>
  <c r="V891"/>
  <c r="T884"/>
  <c r="U915"/>
  <c r="T903"/>
  <c r="U921"/>
  <c r="V914"/>
  <c r="T890"/>
  <c r="U883"/>
  <c r="T929"/>
  <c r="U905"/>
  <c r="V897"/>
  <c r="T882"/>
  <c r="U922"/>
  <c r="V907"/>
  <c r="T910"/>
  <c r="U898"/>
  <c r="V818"/>
  <c r="U913"/>
  <c r="V909"/>
  <c r="T901"/>
  <c r="U886"/>
  <c r="T923"/>
  <c r="U919"/>
  <c r="V912"/>
  <c r="T908"/>
  <c r="U904"/>
  <c r="V896"/>
  <c r="T888"/>
  <c r="U885"/>
  <c r="T829"/>
  <c r="U911"/>
  <c r="V899"/>
  <c r="T887"/>
  <c r="U884"/>
  <c r="V915"/>
  <c r="T902"/>
  <c r="U903"/>
  <c r="V921"/>
  <c r="T906"/>
  <c r="U890"/>
  <c r="V883"/>
  <c r="U917"/>
  <c r="V905"/>
  <c r="T897"/>
  <c r="V922"/>
  <c r="T918"/>
  <c r="U910"/>
  <c r="V898"/>
  <c r="U920"/>
  <c r="V913"/>
  <c r="T909"/>
  <c r="U889"/>
  <c r="V886"/>
  <c r="U923"/>
  <c r="V916"/>
  <c r="T912"/>
  <c r="U908"/>
  <c r="V900"/>
  <c r="T896"/>
  <c r="U888"/>
  <c r="V881"/>
  <c r="U829"/>
  <c r="V911"/>
  <c r="T891"/>
  <c r="U887"/>
  <c r="V884"/>
  <c r="U902"/>
  <c r="V903"/>
  <c r="T914"/>
  <c r="U906"/>
  <c r="V890"/>
  <c r="U929"/>
  <c r="V917"/>
  <c r="T905"/>
  <c r="U882"/>
  <c r="V879"/>
  <c r="U880"/>
  <c r="T878"/>
  <c r="V880"/>
  <c r="U878"/>
  <c r="T879"/>
  <c r="V878"/>
  <c r="U879"/>
  <c r="T880"/>
  <c r="U877"/>
  <c r="U874"/>
  <c r="T873"/>
  <c r="T875"/>
  <c r="U872"/>
  <c r="V877"/>
  <c r="V874"/>
  <c r="V876"/>
  <c r="U875"/>
  <c r="V872"/>
  <c r="U873"/>
  <c r="T876"/>
  <c r="V875"/>
  <c r="T874"/>
  <c r="V873"/>
  <c r="U876"/>
  <c r="T872"/>
  <c r="U233"/>
  <c r="T234"/>
  <c r="V236"/>
  <c r="U237"/>
  <c r="T238"/>
  <c r="V251"/>
  <c r="U252"/>
  <c r="V260"/>
  <c r="V263"/>
  <c r="U264"/>
  <c r="T265"/>
  <c r="T269"/>
  <c r="V279"/>
  <c r="U280"/>
  <c r="U296"/>
  <c r="T301"/>
  <c r="V303"/>
  <c r="U304"/>
  <c r="T305"/>
  <c r="V307"/>
  <c r="U308"/>
  <c r="T309"/>
  <c r="T313"/>
  <c r="V315"/>
  <c r="U316"/>
  <c r="T317"/>
  <c r="V319"/>
  <c r="U323"/>
  <c r="T324"/>
  <c r="V326"/>
  <c r="U327"/>
  <c r="T329"/>
  <c r="U333"/>
  <c r="U340"/>
  <c r="T346"/>
  <c r="V348"/>
  <c r="U349"/>
  <c r="T350"/>
  <c r="V352"/>
  <c r="U353"/>
  <c r="T354"/>
  <c r="T371"/>
  <c r="V373"/>
  <c r="U374"/>
  <c r="T384"/>
  <c r="V386"/>
  <c r="U387"/>
  <c r="T388"/>
  <c r="V390"/>
  <c r="U391"/>
  <c r="T392"/>
  <c r="V394"/>
  <c r="U395"/>
  <c r="T396"/>
  <c r="V401"/>
  <c r="U402"/>
  <c r="T403"/>
  <c r="T404"/>
  <c r="T405"/>
  <c r="T406"/>
  <c r="V411"/>
  <c r="U412"/>
  <c r="T413"/>
  <c r="V424"/>
  <c r="U425"/>
  <c r="U426"/>
  <c r="U427"/>
  <c r="U428"/>
  <c r="U430"/>
  <c r="T431"/>
  <c r="V433"/>
  <c r="U434"/>
  <c r="T435"/>
  <c r="V437"/>
  <c r="U441"/>
  <c r="U451"/>
  <c r="T460"/>
  <c r="T463"/>
  <c r="V465"/>
  <c r="U466"/>
  <c r="V469"/>
  <c r="V499"/>
  <c r="V233"/>
  <c r="U234"/>
  <c r="T235"/>
  <c r="V237"/>
  <c r="U238"/>
  <c r="T239"/>
  <c r="V252"/>
  <c r="V264"/>
  <c r="U265"/>
  <c r="T266"/>
  <c r="U269"/>
  <c r="T278"/>
  <c r="V280"/>
  <c r="V296"/>
  <c r="U301"/>
  <c r="T302"/>
  <c r="V304"/>
  <c r="U305"/>
  <c r="T306"/>
  <c r="V308"/>
  <c r="U309"/>
  <c r="T310"/>
  <c r="U313"/>
  <c r="T314"/>
  <c r="V316"/>
  <c r="U317"/>
  <c r="T318"/>
  <c r="V323"/>
  <c r="U324"/>
  <c r="T325"/>
  <c r="V327"/>
  <c r="U329"/>
  <c r="V333"/>
  <c r="V340"/>
  <c r="U346"/>
  <c r="T347"/>
  <c r="V349"/>
  <c r="U350"/>
  <c r="T351"/>
  <c r="V353"/>
  <c r="U354"/>
  <c r="U371"/>
  <c r="T372"/>
  <c r="V374"/>
  <c r="U384"/>
  <c r="T385"/>
  <c r="V387"/>
  <c r="U388"/>
  <c r="T389"/>
  <c r="V391"/>
  <c r="U392"/>
  <c r="T393"/>
  <c r="V395"/>
  <c r="U396"/>
  <c r="T400"/>
  <c r="V402"/>
  <c r="U403"/>
  <c r="U404"/>
  <c r="U405"/>
  <c r="U406"/>
  <c r="V412"/>
  <c r="U413"/>
  <c r="T414"/>
  <c r="V234"/>
  <c r="U235"/>
  <c r="T236"/>
  <c r="V238"/>
  <c r="U239"/>
  <c r="T251"/>
  <c r="T260"/>
  <c r="T263"/>
  <c r="V265"/>
  <c r="U266"/>
  <c r="V269"/>
  <c r="U278"/>
  <c r="T279"/>
  <c r="V301"/>
  <c r="U302"/>
  <c r="T303"/>
  <c r="V305"/>
  <c r="U306"/>
  <c r="T307"/>
  <c r="V309"/>
  <c r="U310"/>
  <c r="V313"/>
  <c r="U314"/>
  <c r="T315"/>
  <c r="V317"/>
  <c r="U318"/>
  <c r="T319"/>
  <c r="V324"/>
  <c r="U325"/>
  <c r="T326"/>
  <c r="V329"/>
  <c r="V346"/>
  <c r="U347"/>
  <c r="T348"/>
  <c r="V350"/>
  <c r="U351"/>
  <c r="T352"/>
  <c r="V354"/>
  <c r="V371"/>
  <c r="U372"/>
  <c r="T373"/>
  <c r="V384"/>
  <c r="U385"/>
  <c r="T386"/>
  <c r="V388"/>
  <c r="U389"/>
  <c r="T390"/>
  <c r="V392"/>
  <c r="U393"/>
  <c r="T394"/>
  <c r="V396"/>
  <c r="U400"/>
  <c r="T401"/>
  <c r="V403"/>
  <c r="V404"/>
  <c r="V405"/>
  <c r="V406"/>
  <c r="T411"/>
  <c r="V413"/>
  <c r="U414"/>
  <c r="T424"/>
  <c r="V431"/>
  <c r="U432"/>
  <c r="T233"/>
  <c r="V235"/>
  <c r="U236"/>
  <c r="T237"/>
  <c r="V239"/>
  <c r="U251"/>
  <c r="T252"/>
  <c r="U260"/>
  <c r="U263"/>
  <c r="T264"/>
  <c r="V266"/>
  <c r="V278"/>
  <c r="U279"/>
  <c r="T280"/>
  <c r="T296"/>
  <c r="V302"/>
  <c r="U303"/>
  <c r="T304"/>
  <c r="V306"/>
  <c r="U307"/>
  <c r="T308"/>
  <c r="V310"/>
  <c r="V314"/>
  <c r="U315"/>
  <c r="T316"/>
  <c r="V318"/>
  <c r="U319"/>
  <c r="T323"/>
  <c r="V325"/>
  <c r="U326"/>
  <c r="T327"/>
  <c r="T333"/>
  <c r="T340"/>
  <c r="V347"/>
  <c r="U348"/>
  <c r="T349"/>
  <c r="V351"/>
  <c r="U352"/>
  <c r="T353"/>
  <c r="V372"/>
  <c r="U373"/>
  <c r="T374"/>
  <c r="V385"/>
  <c r="U386"/>
  <c r="T387"/>
  <c r="V389"/>
  <c r="U390"/>
  <c r="T391"/>
  <c r="V393"/>
  <c r="U394"/>
  <c r="T395"/>
  <c r="V400"/>
  <c r="U401"/>
  <c r="T402"/>
  <c r="U411"/>
  <c r="T412"/>
  <c r="V414"/>
  <c r="U424"/>
  <c r="T425"/>
  <c r="T426"/>
  <c r="T427"/>
  <c r="T428"/>
  <c r="T430"/>
  <c r="V432"/>
  <c r="U433"/>
  <c r="T434"/>
  <c r="V436"/>
  <c r="U437"/>
  <c r="T441"/>
  <c r="T451"/>
  <c r="V426"/>
  <c r="V428"/>
  <c r="T432"/>
  <c r="V441"/>
  <c r="V457"/>
  <c r="U463"/>
  <c r="T464"/>
  <c r="U469"/>
  <c r="V500"/>
  <c r="U501"/>
  <c r="V518"/>
  <c r="U519"/>
  <c r="T520"/>
  <c r="V522"/>
  <c r="U523"/>
  <c r="T524"/>
  <c r="V526"/>
  <c r="U527"/>
  <c r="T528"/>
  <c r="V530"/>
  <c r="U531"/>
  <c r="T532"/>
  <c r="U535"/>
  <c r="T536"/>
  <c r="V538"/>
  <c r="U539"/>
  <c r="T540"/>
  <c r="V542"/>
  <c r="U543"/>
  <c r="T544"/>
  <c r="U547"/>
  <c r="T579"/>
  <c r="V581"/>
  <c r="U582"/>
  <c r="T583"/>
  <c r="V585"/>
  <c r="U586"/>
  <c r="T587"/>
  <c r="V589"/>
  <c r="U590"/>
  <c r="T591"/>
  <c r="V593"/>
  <c r="U594"/>
  <c r="T595"/>
  <c r="V597"/>
  <c r="U598"/>
  <c r="T599"/>
  <c r="V601"/>
  <c r="U602"/>
  <c r="T603"/>
  <c r="V624"/>
  <c r="U625"/>
  <c r="T626"/>
  <c r="V628"/>
  <c r="U629"/>
  <c r="T630"/>
  <c r="V636"/>
  <c r="U642"/>
  <c r="T643"/>
  <c r="V645"/>
  <c r="U646"/>
  <c r="T647"/>
  <c r="V649"/>
  <c r="T669"/>
  <c r="V671"/>
  <c r="V868"/>
  <c r="U869"/>
  <c r="T870"/>
  <c r="U870"/>
  <c r="T871"/>
  <c r="U431"/>
  <c r="U435"/>
  <c r="T436"/>
  <c r="T437"/>
  <c r="U460"/>
  <c r="T461"/>
  <c r="V463"/>
  <c r="U464"/>
  <c r="T465"/>
  <c r="T466"/>
  <c r="T494"/>
  <c r="V501"/>
  <c r="V519"/>
  <c r="U520"/>
  <c r="T521"/>
  <c r="V523"/>
  <c r="U524"/>
  <c r="T525"/>
  <c r="V527"/>
  <c r="U528"/>
  <c r="T529"/>
  <c r="V531"/>
  <c r="U532"/>
  <c r="V535"/>
  <c r="U536"/>
  <c r="T537"/>
  <c r="V539"/>
  <c r="U540"/>
  <c r="T541"/>
  <c r="V543"/>
  <c r="U544"/>
  <c r="T545"/>
  <c r="V547"/>
  <c r="U579"/>
  <c r="T580"/>
  <c r="V582"/>
  <c r="U583"/>
  <c r="T584"/>
  <c r="V586"/>
  <c r="U587"/>
  <c r="T588"/>
  <c r="V590"/>
  <c r="U591"/>
  <c r="T592"/>
  <c r="V594"/>
  <c r="U595"/>
  <c r="T596"/>
  <c r="V598"/>
  <c r="U599"/>
  <c r="T600"/>
  <c r="V602"/>
  <c r="U603"/>
  <c r="T604"/>
  <c r="T623"/>
  <c r="V625"/>
  <c r="U626"/>
  <c r="T627"/>
  <c r="V629"/>
  <c r="U630"/>
  <c r="T631"/>
  <c r="V642"/>
  <c r="U643"/>
  <c r="T644"/>
  <c r="V646"/>
  <c r="U647"/>
  <c r="T648"/>
  <c r="T666"/>
  <c r="U669"/>
  <c r="T670"/>
  <c r="V869"/>
  <c r="V425"/>
  <c r="V427"/>
  <c r="V430"/>
  <c r="V434"/>
  <c r="V435"/>
  <c r="U436"/>
  <c r="V451"/>
  <c r="T457"/>
  <c r="V460"/>
  <c r="U461"/>
  <c r="V464"/>
  <c r="U465"/>
  <c r="V466"/>
  <c r="U494"/>
  <c r="T499"/>
  <c r="T500"/>
  <c r="T518"/>
  <c r="V520"/>
  <c r="U521"/>
  <c r="T522"/>
  <c r="V524"/>
  <c r="U525"/>
  <c r="T526"/>
  <c r="V528"/>
  <c r="U529"/>
  <c r="T530"/>
  <c r="V532"/>
  <c r="V536"/>
  <c r="U537"/>
  <c r="T538"/>
  <c r="V540"/>
  <c r="U541"/>
  <c r="T542"/>
  <c r="V544"/>
  <c r="U545"/>
  <c r="V579"/>
  <c r="U580"/>
  <c r="T581"/>
  <c r="V583"/>
  <c r="U584"/>
  <c r="T585"/>
  <c r="V587"/>
  <c r="U588"/>
  <c r="T589"/>
  <c r="V591"/>
  <c r="U592"/>
  <c r="T593"/>
  <c r="V595"/>
  <c r="U596"/>
  <c r="T597"/>
  <c r="V599"/>
  <c r="U600"/>
  <c r="T601"/>
  <c r="V603"/>
  <c r="U604"/>
  <c r="U623"/>
  <c r="T624"/>
  <c r="V626"/>
  <c r="U627"/>
  <c r="T628"/>
  <c r="V630"/>
  <c r="U631"/>
  <c r="T636"/>
  <c r="V643"/>
  <c r="U644"/>
  <c r="T645"/>
  <c r="V647"/>
  <c r="U648"/>
  <c r="T649"/>
  <c r="U666"/>
  <c r="V669"/>
  <c r="U670"/>
  <c r="T671"/>
  <c r="T868"/>
  <c r="V870"/>
  <c r="U871"/>
  <c r="T869"/>
  <c r="T433"/>
  <c r="U457"/>
  <c r="V461"/>
  <c r="T469"/>
  <c r="V494"/>
  <c r="U499"/>
  <c r="U500"/>
  <c r="T501"/>
  <c r="U518"/>
  <c r="T519"/>
  <c r="V521"/>
  <c r="U522"/>
  <c r="T523"/>
  <c r="V525"/>
  <c r="U526"/>
  <c r="T527"/>
  <c r="V529"/>
  <c r="U530"/>
  <c r="T531"/>
  <c r="T535"/>
  <c r="V537"/>
  <c r="U538"/>
  <c r="T539"/>
  <c r="V541"/>
  <c r="U542"/>
  <c r="T543"/>
  <c r="V545"/>
  <c r="T547"/>
  <c r="V580"/>
  <c r="U581"/>
  <c r="T582"/>
  <c r="V584"/>
  <c r="U585"/>
  <c r="T586"/>
  <c r="V588"/>
  <c r="U589"/>
  <c r="T590"/>
  <c r="V592"/>
  <c r="U593"/>
  <c r="T594"/>
  <c r="V596"/>
  <c r="U597"/>
  <c r="T598"/>
  <c r="V600"/>
  <c r="U601"/>
  <c r="T602"/>
  <c r="V604"/>
  <c r="V623"/>
  <c r="U624"/>
  <c r="T625"/>
  <c r="V627"/>
  <c r="U628"/>
  <c r="T629"/>
  <c r="V631"/>
  <c r="U636"/>
  <c r="T642"/>
  <c r="V644"/>
  <c r="U645"/>
  <c r="T646"/>
  <c r="V648"/>
  <c r="U649"/>
  <c r="V666"/>
  <c r="V670"/>
  <c r="U671"/>
  <c r="U868"/>
  <c r="V871"/>
  <c r="T661"/>
  <c r="T657"/>
  <c r="U657"/>
  <c r="V657"/>
  <c r="V616"/>
  <c r="T616"/>
  <c r="U612"/>
  <c r="U571"/>
  <c r="V571"/>
  <c r="T571"/>
  <c r="U664"/>
  <c r="V664"/>
  <c r="T664"/>
  <c r="T615"/>
  <c r="U611"/>
  <c r="V611"/>
  <c r="T574"/>
  <c r="U574"/>
  <c r="V574"/>
  <c r="T566"/>
  <c r="U566"/>
  <c r="V566"/>
  <c r="T659"/>
  <c r="U659"/>
  <c r="V659"/>
  <c r="U614"/>
  <c r="V614"/>
  <c r="U573"/>
  <c r="V573"/>
  <c r="T573"/>
  <c r="U662"/>
  <c r="V662"/>
  <c r="T662"/>
  <c r="U617"/>
  <c r="T617"/>
  <c r="V613"/>
  <c r="T576"/>
  <c r="U576"/>
  <c r="V576"/>
  <c r="U605"/>
  <c r="T605"/>
  <c r="V605"/>
  <c r="U661"/>
  <c r="V661"/>
  <c r="U616"/>
  <c r="T612"/>
  <c r="V612"/>
  <c r="U575"/>
  <c r="V575"/>
  <c r="T575"/>
  <c r="U567"/>
  <c r="V567"/>
  <c r="T567"/>
  <c r="U615"/>
  <c r="V615"/>
  <c r="T611"/>
  <c r="T578"/>
  <c r="U578"/>
  <c r="V578"/>
  <c r="T570"/>
  <c r="U570"/>
  <c r="V570"/>
  <c r="T663"/>
  <c r="U663"/>
  <c r="V663"/>
  <c r="U618"/>
  <c r="V618"/>
  <c r="T618"/>
  <c r="T614"/>
  <c r="U577"/>
  <c r="V577"/>
  <c r="T577"/>
  <c r="U569"/>
  <c r="V569"/>
  <c r="T569"/>
  <c r="U658"/>
  <c r="V658"/>
  <c r="T658"/>
  <c r="V617"/>
  <c r="U613"/>
  <c r="T613"/>
  <c r="T572"/>
  <c r="U572"/>
  <c r="V572"/>
  <c r="T418"/>
  <c r="U418"/>
  <c r="V418"/>
  <c r="U455"/>
  <c r="V455"/>
  <c r="T455"/>
  <c r="U417"/>
  <c r="V417"/>
  <c r="T417"/>
  <c r="V332"/>
  <c r="T332"/>
  <c r="U293"/>
  <c r="V293"/>
  <c r="T293"/>
  <c r="U375"/>
  <c r="V375"/>
  <c r="T375"/>
  <c r="T341"/>
  <c r="T244"/>
  <c r="U244"/>
  <c r="V244"/>
  <c r="T454"/>
  <c r="U454"/>
  <c r="V454"/>
  <c r="U343"/>
  <c r="V343"/>
  <c r="T343"/>
  <c r="T339"/>
  <c r="U335"/>
  <c r="V335"/>
  <c r="T246"/>
  <c r="U246"/>
  <c r="V246"/>
  <c r="V440"/>
  <c r="U336"/>
  <c r="V336"/>
  <c r="U216"/>
  <c r="T216"/>
  <c r="V216"/>
  <c r="U415"/>
  <c r="V415"/>
  <c r="T415"/>
  <c r="U383"/>
  <c r="V383"/>
  <c r="T383"/>
  <c r="U342"/>
  <c r="V342"/>
  <c r="V338"/>
  <c r="T338"/>
  <c r="U334"/>
  <c r="T334"/>
  <c r="U295"/>
  <c r="V295"/>
  <c r="T295"/>
  <c r="T262"/>
  <c r="U262"/>
  <c r="V262"/>
  <c r="T217"/>
  <c r="T452"/>
  <c r="U452"/>
  <c r="V452"/>
  <c r="T294"/>
  <c r="U294"/>
  <c r="V294"/>
  <c r="U447"/>
  <c r="V447"/>
  <c r="T447"/>
  <c r="U397"/>
  <c r="V397"/>
  <c r="T397"/>
  <c r="U332"/>
  <c r="U297"/>
  <c r="V297"/>
  <c r="T297"/>
  <c r="U243"/>
  <c r="V243"/>
  <c r="T243"/>
  <c r="U341"/>
  <c r="V341"/>
  <c r="T462"/>
  <c r="U462"/>
  <c r="V462"/>
  <c r="T450"/>
  <c r="U450"/>
  <c r="V450"/>
  <c r="T442"/>
  <c r="U442"/>
  <c r="V442"/>
  <c r="T416"/>
  <c r="U416"/>
  <c r="V416"/>
  <c r="U339"/>
  <c r="V339"/>
  <c r="T335"/>
  <c r="T292"/>
  <c r="U292"/>
  <c r="V292"/>
  <c r="T242"/>
  <c r="U242"/>
  <c r="V242"/>
  <c r="T440"/>
  <c r="U440"/>
  <c r="T336"/>
  <c r="U453"/>
  <c r="V453"/>
  <c r="T453"/>
  <c r="T378"/>
  <c r="U378"/>
  <c r="V378"/>
  <c r="T342"/>
  <c r="U338"/>
  <c r="V334"/>
  <c r="U291"/>
  <c r="V291"/>
  <c r="T291"/>
  <c r="U245"/>
  <c r="V245"/>
  <c r="T245"/>
  <c r="V217"/>
  <c r="U217"/>
  <c r="T445"/>
  <c r="V445"/>
  <c r="T377"/>
  <c r="V377"/>
  <c r="U377"/>
  <c r="T443"/>
  <c r="U445"/>
  <c r="V376"/>
  <c r="U376"/>
  <c r="T376"/>
  <c r="U443"/>
  <c r="V443"/>
  <c r="V444"/>
  <c r="U444"/>
  <c r="T444"/>
  <c r="C87"/>
  <c r="AD87" s="1"/>
  <c r="C88"/>
  <c r="AD88" s="1"/>
  <c r="C89"/>
  <c r="AD89" s="1"/>
  <c r="C92"/>
  <c r="AD92" s="1"/>
  <c r="M87"/>
  <c r="M92"/>
  <c r="M89"/>
  <c r="M88"/>
  <c r="E33"/>
  <c r="E32"/>
  <c r="E31"/>
  <c r="E30"/>
  <c r="E29"/>
  <c r="E28"/>
  <c r="K79"/>
  <c r="M79" s="1"/>
  <c r="E79"/>
  <c r="K78"/>
  <c r="E78"/>
  <c r="I28" i="45" l="1" a="1"/>
  <c r="I28" s="1"/>
  <c r="I30" a="1"/>
  <c r="I30" s="1"/>
  <c r="I32" a="1"/>
  <c r="I32" s="1"/>
  <c r="I31" a="1"/>
  <c r="I31" s="1"/>
  <c r="K28" a="1"/>
  <c r="K28" s="1"/>
  <c r="K30" a="1"/>
  <c r="K30" s="1"/>
  <c r="O30" s="1"/>
  <c r="K32" a="1"/>
  <c r="K32" s="1"/>
  <c r="I27" a="1"/>
  <c r="I27" s="1"/>
  <c r="I29" a="1"/>
  <c r="I29" s="1"/>
  <c r="K27" a="1"/>
  <c r="K27" s="1"/>
  <c r="K29" a="1"/>
  <c r="K29" s="1"/>
  <c r="K31" a="1"/>
  <c r="K31" s="1"/>
  <c r="M78" i="34"/>
  <c r="G12" i="62" a="1"/>
  <c r="G12" s="1"/>
  <c r="G13" a="1"/>
  <c r="G13" s="1"/>
  <c r="G14" a="1"/>
  <c r="G14" s="1"/>
  <c r="G15" a="1"/>
  <c r="G15" s="1"/>
  <c r="I12" a="1"/>
  <c r="I12" s="1"/>
  <c r="I13" a="1"/>
  <c r="I13" s="1"/>
  <c r="I14" a="1"/>
  <c r="I14" s="1"/>
  <c r="I15" a="1"/>
  <c r="I15" s="1"/>
  <c r="B88" i="34"/>
  <c r="B87"/>
  <c r="B92"/>
  <c r="B89"/>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O28" i="45" l="1"/>
  <c r="A92" i="34"/>
  <c r="S92"/>
  <c r="R92"/>
  <c r="Q92"/>
  <c r="A87"/>
  <c r="Q87"/>
  <c r="R87"/>
  <c r="S87"/>
  <c r="A88"/>
  <c r="S88"/>
  <c r="Q88"/>
  <c r="R88"/>
  <c r="A89"/>
  <c r="Q89"/>
  <c r="R89"/>
  <c r="S89"/>
  <c r="O32" i="45"/>
  <c r="O31"/>
  <c r="M15" i="62"/>
  <c r="O29" i="45"/>
  <c r="O27"/>
  <c r="M27"/>
  <c r="M31"/>
  <c r="M32"/>
  <c r="M30"/>
  <c r="M29"/>
  <c r="M28"/>
  <c r="M14" i="62"/>
  <c r="M13"/>
  <c r="M12"/>
  <c r="K14"/>
  <c r="K13"/>
  <c r="K12"/>
  <c r="K15"/>
  <c r="CB39" i="48"/>
  <c r="I29" i="12" l="1"/>
  <c r="I30"/>
  <c r="I31"/>
  <c r="I32"/>
  <c r="I33"/>
  <c r="I34"/>
  <c r="I35"/>
  <c r="I36"/>
  <c r="I26"/>
  <c r="I37"/>
  <c r="I38"/>
  <c r="I39"/>
  <c r="I40"/>
  <c r="I41"/>
  <c r="I42"/>
  <c r="I43"/>
  <c r="I44"/>
  <c r="I45"/>
  <c r="I46"/>
  <c r="I47"/>
  <c r="I48"/>
  <c r="I49"/>
  <c r="I50"/>
  <c r="I51"/>
  <c r="I52"/>
  <c r="I28"/>
  <c r="P12" i="34" l="1"/>
  <c r="P13"/>
  <c r="P14"/>
  <c r="P15"/>
  <c r="P16"/>
  <c r="P17"/>
  <c r="P18"/>
  <c r="P19"/>
  <c r="C290"/>
  <c r="AD290" s="1"/>
  <c r="C298"/>
  <c r="AD298" s="1"/>
  <c r="C328"/>
  <c r="AD328" s="1"/>
  <c r="C365"/>
  <c r="AD365" s="1"/>
  <c r="C255"/>
  <c r="AD255" s="1"/>
  <c r="A52" i="12"/>
  <c r="A5"/>
  <c r="A6"/>
  <c r="A7"/>
  <c r="A8"/>
  <c r="A9"/>
  <c r="A10"/>
  <c r="A11"/>
  <c r="A12"/>
  <c r="A13"/>
  <c r="A16"/>
  <c r="A17"/>
  <c r="A19"/>
  <c r="A20"/>
  <c r="A21"/>
  <c r="A22"/>
  <c r="A23"/>
  <c r="A24"/>
  <c r="A28"/>
  <c r="A29"/>
  <c r="A30"/>
  <c r="A31"/>
  <c r="A32"/>
  <c r="A33"/>
  <c r="A34"/>
  <c r="A35"/>
  <c r="A36"/>
  <c r="A26"/>
  <c r="A37"/>
  <c r="A38"/>
  <c r="A39"/>
  <c r="A40"/>
  <c r="A41"/>
  <c r="A42"/>
  <c r="A43"/>
  <c r="A44"/>
  <c r="A45"/>
  <c r="A46"/>
  <c r="A47"/>
  <c r="A48"/>
  <c r="A49"/>
  <c r="A50"/>
  <c r="A51"/>
  <c r="A4"/>
  <c r="C739" i="34"/>
  <c r="AD739" s="1"/>
  <c r="M182"/>
  <c r="C182"/>
  <c r="AD182" s="1"/>
  <c r="M183"/>
  <c r="C183"/>
  <c r="AD183" s="1"/>
  <c r="M181"/>
  <c r="C181"/>
  <c r="AD181" s="1"/>
  <c r="M180"/>
  <c r="C180"/>
  <c r="AD180" s="1"/>
  <c r="M179"/>
  <c r="C179"/>
  <c r="AD179" s="1"/>
  <c r="M178"/>
  <c r="C178"/>
  <c r="AD178" s="1"/>
  <c r="M177"/>
  <c r="C177"/>
  <c r="AD177" s="1"/>
  <c r="M176"/>
  <c r="C176"/>
  <c r="AD176" s="1"/>
  <c r="M175"/>
  <c r="C175"/>
  <c r="AD175" s="1"/>
  <c r="M174"/>
  <c r="C174"/>
  <c r="AD174" s="1"/>
  <c r="M173"/>
  <c r="C173"/>
  <c r="AD173" s="1"/>
  <c r="M172"/>
  <c r="C172"/>
  <c r="AD172" s="1"/>
  <c r="C732"/>
  <c r="AD732" s="1"/>
  <c r="C733"/>
  <c r="AD733" s="1"/>
  <c r="C734"/>
  <c r="AD734" s="1"/>
  <c r="C735"/>
  <c r="AD735" s="1"/>
  <c r="C736"/>
  <c r="AD736" s="1"/>
  <c r="C737"/>
  <c r="AD737" s="1"/>
  <c r="C738"/>
  <c r="AD738" s="1"/>
  <c r="C731"/>
  <c r="AD731" s="1"/>
  <c r="B737" l="1"/>
  <c r="B175"/>
  <c r="B732"/>
  <c r="B328"/>
  <c r="B731"/>
  <c r="B735"/>
  <c r="B172"/>
  <c r="B174"/>
  <c r="B176"/>
  <c r="B178"/>
  <c r="B180"/>
  <c r="B739"/>
  <c r="B298"/>
  <c r="B738"/>
  <c r="B734"/>
  <c r="B255"/>
  <c r="B290"/>
  <c r="B173"/>
  <c r="B177"/>
  <c r="B179"/>
  <c r="B181"/>
  <c r="B182"/>
  <c r="B365"/>
  <c r="B733"/>
  <c r="B736"/>
  <c r="B183"/>
  <c r="W12"/>
  <c r="Y12"/>
  <c r="AB12"/>
  <c r="AC12"/>
  <c r="W13"/>
  <c r="Y13"/>
  <c r="AB13"/>
  <c r="AC13"/>
  <c r="W14"/>
  <c r="Y14"/>
  <c r="AB14"/>
  <c r="AC14"/>
  <c r="W15"/>
  <c r="Y15"/>
  <c r="AB15"/>
  <c r="AC15"/>
  <c r="W16"/>
  <c r="Y16"/>
  <c r="AB16"/>
  <c r="AC16"/>
  <c r="W17"/>
  <c r="Y17"/>
  <c r="AB17"/>
  <c r="AC17"/>
  <c r="W18"/>
  <c r="Y18"/>
  <c r="AB18"/>
  <c r="AC18"/>
  <c r="W19"/>
  <c r="Y19"/>
  <c r="AB19"/>
  <c r="AC19"/>
  <c r="F61" i="55"/>
  <c r="F46"/>
  <c r="E45"/>
  <c r="G40" a="1"/>
  <c r="G40" s="1"/>
  <c r="G41" a="1"/>
  <c r="G41" s="1"/>
  <c r="G42" a="1"/>
  <c r="G42" s="1"/>
  <c r="G43" a="1"/>
  <c r="G43" s="1"/>
  <c r="G47" a="1"/>
  <c r="G47" s="1"/>
  <c r="G48" a="1"/>
  <c r="G48" s="1"/>
  <c r="M162" i="34"/>
  <c r="M163"/>
  <c r="M164"/>
  <c r="M165"/>
  <c r="C162"/>
  <c r="AD162" s="1"/>
  <c r="C163"/>
  <c r="AD163" s="1"/>
  <c r="C164"/>
  <c r="AD164" s="1"/>
  <c r="C165"/>
  <c r="AD165" s="1"/>
  <c r="C152"/>
  <c r="AD152" s="1"/>
  <c r="C153"/>
  <c r="AD153" s="1"/>
  <c r="C154"/>
  <c r="AD154" s="1"/>
  <c r="C155"/>
  <c r="AD155" s="1"/>
  <c r="C156"/>
  <c r="AD156" s="1"/>
  <c r="C157"/>
  <c r="AD157" s="1"/>
  <c r="C158"/>
  <c r="AD158" s="1"/>
  <c r="C159"/>
  <c r="AD159" s="1"/>
  <c r="C160"/>
  <c r="AD160" s="1"/>
  <c r="C161"/>
  <c r="AD161" s="1"/>
  <c r="C151"/>
  <c r="AD151" s="1"/>
  <c r="M152"/>
  <c r="M153"/>
  <c r="M154"/>
  <c r="M155"/>
  <c r="M156"/>
  <c r="M157"/>
  <c r="M158"/>
  <c r="M159"/>
  <c r="M160"/>
  <c r="M151"/>
  <c r="M161"/>
  <c r="M119"/>
  <c r="C119"/>
  <c r="AD119" s="1"/>
  <c r="V21" i="60"/>
  <c r="V22"/>
  <c r="A31" i="55"/>
  <c r="A37"/>
  <c r="B31"/>
  <c r="B32"/>
  <c r="A32" s="1"/>
  <c r="B33"/>
  <c r="A33" s="1"/>
  <c r="B34"/>
  <c r="A34" s="1"/>
  <c r="B35"/>
  <c r="A35" s="1"/>
  <c r="B36"/>
  <c r="A36" s="1"/>
  <c r="B13"/>
  <c r="B14"/>
  <c r="B15"/>
  <c r="B16"/>
  <c r="B17"/>
  <c r="B18"/>
  <c r="B19"/>
  <c r="B20"/>
  <c r="A20" s="1"/>
  <c r="B22"/>
  <c r="A22" s="1"/>
  <c r="B23"/>
  <c r="A23" s="1"/>
  <c r="B24"/>
  <c r="A24" s="1"/>
  <c r="B25"/>
  <c r="A25" s="1"/>
  <c r="B26"/>
  <c r="A26" s="1"/>
  <c r="B27"/>
  <c r="A27" s="1"/>
  <c r="B28"/>
  <c r="A28" s="1"/>
  <c r="B29"/>
  <c r="A29" s="1"/>
  <c r="B30"/>
  <c r="A30" s="1"/>
  <c r="B12"/>
  <c r="G20" a="1"/>
  <c r="G20" s="1"/>
  <c r="I20" a="1"/>
  <c r="I20" s="1"/>
  <c r="G22" a="1"/>
  <c r="G22" s="1"/>
  <c r="I22" a="1"/>
  <c r="I22" s="1"/>
  <c r="G23" a="1"/>
  <c r="G23" s="1"/>
  <c r="I23" a="1"/>
  <c r="I23" s="1"/>
  <c r="G24" a="1"/>
  <c r="G24" s="1"/>
  <c r="I24" a="1"/>
  <c r="I24" s="1"/>
  <c r="E37"/>
  <c r="F38"/>
  <c r="V41" i="60"/>
  <c r="V40"/>
  <c r="V39"/>
  <c r="L29" s="1"/>
  <c r="V36"/>
  <c r="V35"/>
  <c r="V34"/>
  <c r="V33"/>
  <c r="V32"/>
  <c r="V31"/>
  <c r="V30"/>
  <c r="V29"/>
  <c r="V23"/>
  <c r="V20"/>
  <c r="L8" s="1"/>
  <c r="V19"/>
  <c r="V18"/>
  <c r="V11"/>
  <c r="V10"/>
  <c r="V9"/>
  <c r="V8"/>
  <c r="V7"/>
  <c r="D48"/>
  <c r="G48" s="1"/>
  <c r="D47"/>
  <c r="A47"/>
  <c r="A48" s="1"/>
  <c r="A49" s="1"/>
  <c r="P30"/>
  <c r="C30"/>
  <c r="D30" s="1"/>
  <c r="G30" s="1"/>
  <c r="A30"/>
  <c r="D29"/>
  <c r="G29" s="1"/>
  <c r="A29"/>
  <c r="D9"/>
  <c r="G9" s="1"/>
  <c r="D8"/>
  <c r="G8" s="1"/>
  <c r="D7"/>
  <c r="G7" s="1"/>
  <c r="A7"/>
  <c r="A8" s="1"/>
  <c r="A9" s="1"/>
  <c r="A733" i="34" l="1"/>
  <c r="Q733"/>
  <c r="R733"/>
  <c r="S733"/>
  <c r="A179"/>
  <c r="S179"/>
  <c r="Q179"/>
  <c r="R179"/>
  <c r="A255"/>
  <c r="Q255"/>
  <c r="R255"/>
  <c r="S255"/>
  <c r="A739"/>
  <c r="Q739"/>
  <c r="R739"/>
  <c r="S739"/>
  <c r="A174"/>
  <c r="Q174"/>
  <c r="R174"/>
  <c r="S174"/>
  <c r="A328"/>
  <c r="S328"/>
  <c r="Q328"/>
  <c r="R328"/>
  <c r="A365"/>
  <c r="Q365"/>
  <c r="S365"/>
  <c r="R365"/>
  <c r="A177"/>
  <c r="S177"/>
  <c r="Q177"/>
  <c r="R177"/>
  <c r="A734"/>
  <c r="S734"/>
  <c r="Q734"/>
  <c r="R734"/>
  <c r="A180"/>
  <c r="Q180"/>
  <c r="R180"/>
  <c r="S180"/>
  <c r="A172"/>
  <c r="Q172"/>
  <c r="R172"/>
  <c r="S172"/>
  <c r="A732"/>
  <c r="S732"/>
  <c r="Q732"/>
  <c r="R732"/>
  <c r="A183"/>
  <c r="S183"/>
  <c r="Q183"/>
  <c r="R183"/>
  <c r="A182"/>
  <c r="Q182"/>
  <c r="R182"/>
  <c r="S182"/>
  <c r="A173"/>
  <c r="S173"/>
  <c r="Q173"/>
  <c r="R173"/>
  <c r="A738"/>
  <c r="S738"/>
  <c r="Q738"/>
  <c r="R738"/>
  <c r="A178"/>
  <c r="Q178"/>
  <c r="R178"/>
  <c r="S178"/>
  <c r="A735"/>
  <c r="Q735"/>
  <c r="R735"/>
  <c r="S735"/>
  <c r="A175"/>
  <c r="S175"/>
  <c r="Q175"/>
  <c r="R175"/>
  <c r="A736"/>
  <c r="S736"/>
  <c r="Q736"/>
  <c r="R736"/>
  <c r="A181"/>
  <c r="S181"/>
  <c r="Q181"/>
  <c r="R181"/>
  <c r="A290"/>
  <c r="S290"/>
  <c r="Q290"/>
  <c r="R290"/>
  <c r="A298"/>
  <c r="S298"/>
  <c r="Q298"/>
  <c r="R298"/>
  <c r="A176"/>
  <c r="Q176"/>
  <c r="R176"/>
  <c r="S176"/>
  <c r="A731"/>
  <c r="Q731"/>
  <c r="R731"/>
  <c r="S731"/>
  <c r="A737"/>
  <c r="Q737"/>
  <c r="R737"/>
  <c r="S737"/>
  <c r="L7" i="60"/>
  <c r="L9"/>
  <c r="B151" i="34"/>
  <c r="B158"/>
  <c r="B154"/>
  <c r="B164"/>
  <c r="B161"/>
  <c r="B157"/>
  <c r="B153"/>
  <c r="B163"/>
  <c r="B160"/>
  <c r="B156"/>
  <c r="B152"/>
  <c r="B162"/>
  <c r="B119"/>
  <c r="B159"/>
  <c r="B155"/>
  <c r="B165"/>
  <c r="V38" i="60"/>
  <c r="V17"/>
  <c r="K24" i="55"/>
  <c r="K23"/>
  <c r="K22"/>
  <c r="K20"/>
  <c r="A160" i="34" l="1"/>
  <c r="Q160"/>
  <c r="R160"/>
  <c r="S160"/>
  <c r="A163"/>
  <c r="S163"/>
  <c r="Q163"/>
  <c r="R163"/>
  <c r="A155"/>
  <c r="S155"/>
  <c r="Q155"/>
  <c r="R155"/>
  <c r="A152"/>
  <c r="R152"/>
  <c r="S152"/>
  <c r="Q152"/>
  <c r="A154"/>
  <c r="Q154"/>
  <c r="R154"/>
  <c r="S154"/>
  <c r="A159"/>
  <c r="S159"/>
  <c r="R159"/>
  <c r="Q159"/>
  <c r="A156"/>
  <c r="Q156"/>
  <c r="R156"/>
  <c r="S156"/>
  <c r="A157"/>
  <c r="S157"/>
  <c r="Q157"/>
  <c r="R157"/>
  <c r="A158"/>
  <c r="Q158"/>
  <c r="S158"/>
  <c r="R158"/>
  <c r="A161"/>
  <c r="S161"/>
  <c r="Q161"/>
  <c r="R161"/>
  <c r="A162"/>
  <c r="Q162"/>
  <c r="R162"/>
  <c r="S162"/>
  <c r="A119"/>
  <c r="Q119"/>
  <c r="R119"/>
  <c r="S119"/>
  <c r="A151"/>
  <c r="Q151"/>
  <c r="S151"/>
  <c r="R151"/>
  <c r="A165"/>
  <c r="S165"/>
  <c r="Q165"/>
  <c r="R165"/>
  <c r="A164"/>
  <c r="Q164"/>
  <c r="R164"/>
  <c r="S164"/>
  <c r="A153"/>
  <c r="S153"/>
  <c r="Q153"/>
  <c r="R153"/>
  <c r="M20"/>
  <c r="M18"/>
  <c r="M19"/>
  <c r="M16"/>
  <c r="M17"/>
  <c r="M11"/>
  <c r="M10" l="1"/>
  <c r="C11"/>
  <c r="AD11" s="1"/>
  <c r="C12"/>
  <c r="AD12" s="1"/>
  <c r="C13"/>
  <c r="AD13" s="1"/>
  <c r="C14"/>
  <c r="AD14" s="1"/>
  <c r="C15"/>
  <c r="AD15" s="1"/>
  <c r="C21"/>
  <c r="AD21" s="1"/>
  <c r="C16"/>
  <c r="AD16" s="1"/>
  <c r="C17"/>
  <c r="AD17" s="1"/>
  <c r="C18"/>
  <c r="AD18" s="1"/>
  <c r="C19"/>
  <c r="AD19" s="1"/>
  <c r="C20"/>
  <c r="AD20" s="1"/>
  <c r="C10"/>
  <c r="AD10" s="1"/>
  <c r="E76"/>
  <c r="B20" l="1"/>
  <c r="B18"/>
  <c r="A18" s="1"/>
  <c r="B17"/>
  <c r="B16"/>
  <c r="A16" s="1"/>
  <c r="B19"/>
  <c r="A19" s="1"/>
  <c r="A20" l="1"/>
  <c r="S20"/>
  <c r="Q20"/>
  <c r="R20"/>
  <c r="S17"/>
  <c r="A17"/>
  <c r="Q17"/>
  <c r="R17"/>
  <c r="S16"/>
  <c r="Q16"/>
  <c r="R16"/>
  <c r="S18"/>
  <c r="Q18"/>
  <c r="R18"/>
  <c r="S19"/>
  <c r="Q19"/>
  <c r="R19"/>
  <c r="G7" i="57"/>
  <c r="D53" i="12"/>
  <c r="C53"/>
  <c r="E6" i="43" l="1"/>
  <c r="I111" i="42"/>
  <c r="G90" i="43"/>
  <c r="S9" l="1"/>
  <c r="S8"/>
  <c r="D74" i="15" l="1"/>
  <c r="C74"/>
  <c r="C23"/>
  <c r="D23"/>
  <c r="C35"/>
  <c r="D35"/>
  <c r="D32"/>
  <c r="C32"/>
  <c r="C50"/>
  <c r="D50"/>
  <c r="C43"/>
  <c r="D43"/>
  <c r="D55" l="1"/>
  <c r="L338" i="34"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1" i="60"/>
  <c r="V280"/>
  <c r="V279"/>
  <c r="V278"/>
  <c r="V277"/>
  <c r="V276"/>
  <c r="V275"/>
  <c r="W274"/>
  <c r="V272"/>
  <c r="V271"/>
  <c r="V270"/>
  <c r="O270"/>
  <c r="L270"/>
  <c r="E270"/>
  <c r="V269"/>
  <c r="A269"/>
  <c r="V268"/>
  <c r="M268"/>
  <c r="C268"/>
  <c r="D268" s="1"/>
  <c r="G268" s="1"/>
  <c r="A268"/>
  <c r="V267"/>
  <c r="C267"/>
  <c r="D267" s="1"/>
  <c r="G267" s="1"/>
  <c r="A267"/>
  <c r="V266"/>
  <c r="M266"/>
  <c r="C266"/>
  <c r="D266" s="1"/>
  <c r="G266" s="1"/>
  <c r="A266"/>
  <c r="V265"/>
  <c r="C265"/>
  <c r="D265" s="1"/>
  <c r="G265" s="1"/>
  <c r="A265"/>
  <c r="V264"/>
  <c r="C264"/>
  <c r="D264" s="1"/>
  <c r="G264" s="1"/>
  <c r="A264"/>
  <c r="V263"/>
  <c r="M263"/>
  <c r="M270" s="1"/>
  <c r="C263"/>
  <c r="D263" s="1"/>
  <c r="A263"/>
  <c r="V255"/>
  <c r="L243" s="1"/>
  <c r="V254"/>
  <c r="L242" s="1"/>
  <c r="V253"/>
  <c r="L241" s="1"/>
  <c r="V252"/>
  <c r="L240" s="1"/>
  <c r="V251"/>
  <c r="L239" s="1"/>
  <c r="V250"/>
  <c r="L238" s="1"/>
  <c r="W249"/>
  <c r="V247"/>
  <c r="V246"/>
  <c r="V245"/>
  <c r="O245"/>
  <c r="N245"/>
  <c r="E245"/>
  <c r="V244"/>
  <c r="A244"/>
  <c r="V243"/>
  <c r="P243"/>
  <c r="M243"/>
  <c r="D243"/>
  <c r="G243" s="1"/>
  <c r="A243"/>
  <c r="V242"/>
  <c r="P242"/>
  <c r="C242"/>
  <c r="D242" s="1"/>
  <c r="G242" s="1"/>
  <c r="A242"/>
  <c r="V241"/>
  <c r="P241"/>
  <c r="M241"/>
  <c r="C241"/>
  <c r="D241" s="1"/>
  <c r="G241" s="1"/>
  <c r="A241"/>
  <c r="V240"/>
  <c r="P240"/>
  <c r="C240"/>
  <c r="D240" s="1"/>
  <c r="G240" s="1"/>
  <c r="A240"/>
  <c r="V239"/>
  <c r="P239"/>
  <c r="C239"/>
  <c r="D239" s="1"/>
  <c r="G239" s="1"/>
  <c r="A239"/>
  <c r="V238"/>
  <c r="P238"/>
  <c r="M238"/>
  <c r="M245" s="1"/>
  <c r="C238"/>
  <c r="D238" s="1"/>
  <c r="A238"/>
  <c r="V231"/>
  <c r="V230"/>
  <c r="V229"/>
  <c r="V228"/>
  <c r="V227"/>
  <c r="V226"/>
  <c r="V225"/>
  <c r="V224"/>
  <c r="W223"/>
  <c r="V221"/>
  <c r="V220"/>
  <c r="V219"/>
  <c r="O219"/>
  <c r="L219"/>
  <c r="E219"/>
  <c r="V218"/>
  <c r="A218"/>
  <c r="V217"/>
  <c r="C217"/>
  <c r="D217" s="1"/>
  <c r="G217" s="1"/>
  <c r="A217"/>
  <c r="V216"/>
  <c r="C216"/>
  <c r="D216" s="1"/>
  <c r="G216" s="1"/>
  <c r="A216"/>
  <c r="V215"/>
  <c r="C215"/>
  <c r="D215" s="1"/>
  <c r="G215" s="1"/>
  <c r="A215"/>
  <c r="V214"/>
  <c r="C214"/>
  <c r="D214" s="1"/>
  <c r="G214" s="1"/>
  <c r="A214"/>
  <c r="V213"/>
  <c r="M213"/>
  <c r="M219" s="1"/>
  <c r="C213"/>
  <c r="D213" s="1"/>
  <c r="G213" s="1"/>
  <c r="A213"/>
  <c r="V212"/>
  <c r="C212"/>
  <c r="D212" s="1"/>
  <c r="A212"/>
  <c r="V204"/>
  <c r="V203"/>
  <c r="V202"/>
  <c r="V201"/>
  <c r="V200"/>
  <c r="V199"/>
  <c r="V198"/>
  <c r="V197"/>
  <c r="W196"/>
  <c r="V194"/>
  <c r="V193"/>
  <c r="V192"/>
  <c r="V191"/>
  <c r="O191"/>
  <c r="L191"/>
  <c r="E191"/>
  <c r="H185" s="1"/>
  <c r="V190"/>
  <c r="A190"/>
  <c r="V189"/>
  <c r="H189"/>
  <c r="C189"/>
  <c r="D189" s="1"/>
  <c r="G189" s="1"/>
  <c r="A189"/>
  <c r="V188"/>
  <c r="H188"/>
  <c r="C188"/>
  <c r="D188" s="1"/>
  <c r="G188" s="1"/>
  <c r="A188"/>
  <c r="V187"/>
  <c r="H187"/>
  <c r="C187"/>
  <c r="D187" s="1"/>
  <c r="G187" s="1"/>
  <c r="A187"/>
  <c r="V186"/>
  <c r="C186"/>
  <c r="D186" s="1"/>
  <c r="G186" s="1"/>
  <c r="A186"/>
  <c r="V185"/>
  <c r="M185"/>
  <c r="M191" s="1"/>
  <c r="C185"/>
  <c r="D185" s="1"/>
  <c r="A185"/>
  <c r="V178"/>
  <c r="V177"/>
  <c r="V176"/>
  <c r="V175"/>
  <c r="V174"/>
  <c r="V173"/>
  <c r="V172"/>
  <c r="V171"/>
  <c r="W170"/>
  <c r="V168"/>
  <c r="V167"/>
  <c r="V166"/>
  <c r="V165"/>
  <c r="V164"/>
  <c r="V163"/>
  <c r="O163"/>
  <c r="L163"/>
  <c r="E163"/>
  <c r="V162"/>
  <c r="C162"/>
  <c r="A162"/>
  <c r="V161"/>
  <c r="M161"/>
  <c r="C161"/>
  <c r="D161" s="1"/>
  <c r="G161" s="1"/>
  <c r="A161"/>
  <c r="V160"/>
  <c r="M160"/>
  <c r="C160"/>
  <c r="D160" s="1"/>
  <c r="G160" s="1"/>
  <c r="A160"/>
  <c r="V159"/>
  <c r="C159"/>
  <c r="D159" s="1"/>
  <c r="G159" s="1"/>
  <c r="A159"/>
  <c r="V158"/>
  <c r="M158"/>
  <c r="M163" s="1"/>
  <c r="C158"/>
  <c r="D158" s="1"/>
  <c r="A158"/>
  <c r="V152"/>
  <c r="V151"/>
  <c r="V150"/>
  <c r="V149"/>
  <c r="V148"/>
  <c r="V147"/>
  <c r="W146"/>
  <c r="V144"/>
  <c r="V143"/>
  <c r="V142"/>
  <c r="V141"/>
  <c r="V140"/>
  <c r="V139"/>
  <c r="O139"/>
  <c r="L139"/>
  <c r="V138"/>
  <c r="M138"/>
  <c r="D138"/>
  <c r="G138" s="1"/>
  <c r="A138"/>
  <c r="V137"/>
  <c r="C137"/>
  <c r="D137" s="1"/>
  <c r="G137" s="1"/>
  <c r="A137"/>
  <c r="V136"/>
  <c r="C136"/>
  <c r="D136" s="1"/>
  <c r="G136" s="1"/>
  <c r="A136"/>
  <c r="V135"/>
  <c r="M135"/>
  <c r="M139" s="1"/>
  <c r="C135"/>
  <c r="D135" s="1"/>
  <c r="A135"/>
  <c r="V128"/>
  <c r="V127"/>
  <c r="V126"/>
  <c r="V125"/>
  <c r="V124"/>
  <c r="V123"/>
  <c r="V122"/>
  <c r="W121"/>
  <c r="V119"/>
  <c r="V118"/>
  <c r="V117"/>
  <c r="V116"/>
  <c r="V115"/>
  <c r="V114"/>
  <c r="V113"/>
  <c r="V112"/>
  <c r="O112"/>
  <c r="L112"/>
  <c r="V111"/>
  <c r="A111"/>
  <c r="V110"/>
  <c r="M110"/>
  <c r="C110"/>
  <c r="D110" s="1"/>
  <c r="G110" s="1"/>
  <c r="A110"/>
  <c r="V109"/>
  <c r="C109"/>
  <c r="D109" s="1"/>
  <c r="G109" s="1"/>
  <c r="A109"/>
  <c r="V108"/>
  <c r="C108"/>
  <c r="D108" s="1"/>
  <c r="G108" s="1"/>
  <c r="A108"/>
  <c r="V107"/>
  <c r="M107"/>
  <c r="M112" s="1"/>
  <c r="C107"/>
  <c r="D107" s="1"/>
  <c r="A107"/>
  <c r="V100"/>
  <c r="V99"/>
  <c r="V98"/>
  <c r="V97"/>
  <c r="V96"/>
  <c r="W95"/>
  <c r="V93"/>
  <c r="V92"/>
  <c r="V91"/>
  <c r="V90"/>
  <c r="O90"/>
  <c r="L90"/>
  <c r="E90"/>
  <c r="V89"/>
  <c r="A89"/>
  <c r="V88"/>
  <c r="C88"/>
  <c r="D88" s="1"/>
  <c r="G88" s="1"/>
  <c r="A88"/>
  <c r="V87"/>
  <c r="M87"/>
  <c r="M90" s="1"/>
  <c r="C87"/>
  <c r="D87" s="1"/>
  <c r="A87"/>
  <c r="V81"/>
  <c r="V80"/>
  <c r="V79"/>
  <c r="V78"/>
  <c r="W77"/>
  <c r="V75"/>
  <c r="V74"/>
  <c r="V73"/>
  <c r="V72"/>
  <c r="O72"/>
  <c r="V71"/>
  <c r="V69"/>
  <c r="V68"/>
  <c r="M72"/>
  <c r="A68"/>
  <c r="A69" s="1"/>
  <c r="V62"/>
  <c r="V61"/>
  <c r="V60"/>
  <c r="V59"/>
  <c r="L49" s="1"/>
  <c r="V58"/>
  <c r="V57"/>
  <c r="W56"/>
  <c r="V54"/>
  <c r="V53"/>
  <c r="V52"/>
  <c r="V51"/>
  <c r="O52"/>
  <c r="M52"/>
  <c r="E52"/>
  <c r="V50"/>
  <c r="A51"/>
  <c r="V49"/>
  <c r="V48"/>
  <c r="V47"/>
  <c r="W38"/>
  <c r="O32"/>
  <c r="M32"/>
  <c r="L32"/>
  <c r="I32"/>
  <c r="G32"/>
  <c r="E32"/>
  <c r="D32"/>
  <c r="A31"/>
  <c r="W17"/>
  <c r="O11"/>
  <c r="M11"/>
  <c r="L11"/>
  <c r="I11"/>
  <c r="G11"/>
  <c r="D11"/>
  <c r="P10"/>
  <c r="A10"/>
  <c r="A31" i="58"/>
  <c r="I13"/>
  <c r="C8"/>
  <c r="A31" i="57"/>
  <c r="L13"/>
  <c r="K13"/>
  <c r="I7"/>
  <c r="A27" i="56"/>
  <c r="A12"/>
  <c r="D7"/>
  <c r="C7"/>
  <c r="D5"/>
  <c r="A61" i="55"/>
  <c r="F60"/>
  <c r="E61" s="1"/>
  <c r="E60"/>
  <c r="A60"/>
  <c r="B59"/>
  <c r="A59" s="1"/>
  <c r="I54" a="1"/>
  <c r="I54" s="1"/>
  <c r="G54" a="1"/>
  <c r="G54" s="1"/>
  <c r="I53" a="1"/>
  <c r="I53" s="1"/>
  <c r="G53" a="1"/>
  <c r="G53" s="1"/>
  <c r="I52" a="1"/>
  <c r="I52" s="1"/>
  <c r="G52" a="1"/>
  <c r="G52" s="1"/>
  <c r="I51" a="1"/>
  <c r="I51" s="1"/>
  <c r="G51" a="1"/>
  <c r="G51" s="1"/>
  <c r="I50" a="1"/>
  <c r="I50" s="1"/>
  <c r="G50" a="1"/>
  <c r="G50" s="1"/>
  <c r="I49" a="1"/>
  <c r="I49" s="1"/>
  <c r="G49" a="1"/>
  <c r="G49" s="1"/>
  <c r="I48" a="1"/>
  <c r="I48" s="1"/>
  <c r="I47" a="1"/>
  <c r="I47" s="1"/>
  <c r="B47"/>
  <c r="B48" s="1"/>
  <c r="F45"/>
  <c r="E46" s="1"/>
  <c r="A45"/>
  <c r="B44"/>
  <c r="A44" s="1"/>
  <c r="I43" a="1"/>
  <c r="I43" s="1"/>
  <c r="B43"/>
  <c r="A43" s="1"/>
  <c r="I42" a="1"/>
  <c r="I42" s="1"/>
  <c r="B42"/>
  <c r="A42" s="1"/>
  <c r="I41" a="1"/>
  <c r="I41" s="1"/>
  <c r="B41"/>
  <c r="A41" s="1"/>
  <c r="I40" a="1"/>
  <c r="I40" s="1"/>
  <c r="I39" a="1"/>
  <c r="I39" s="1"/>
  <c r="G39" a="1"/>
  <c r="G39" s="1"/>
  <c r="G45" s="1"/>
  <c r="B39"/>
  <c r="A39" s="1"/>
  <c r="F37"/>
  <c r="E38" s="1"/>
  <c r="I35" a="1"/>
  <c r="I35" s="1"/>
  <c r="G35" a="1"/>
  <c r="G35"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18" s="1"/>
  <c r="A31" i="52"/>
  <c r="N16"/>
  <c r="M16"/>
  <c r="L16"/>
  <c r="K16"/>
  <c r="J9"/>
  <c r="A8"/>
  <c r="H34" i="45"/>
  <c r="F34"/>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F17" i="62"/>
  <c r="E17"/>
  <c r="D17"/>
  <c r="C17"/>
  <c r="I11" a="1"/>
  <c r="I11" s="1"/>
  <c r="G11" a="1"/>
  <c r="G11" s="1"/>
  <c r="I10" a="1"/>
  <c r="I10" s="1"/>
  <c r="G10" a="1"/>
  <c r="G10" s="1"/>
  <c r="I9" a="1"/>
  <c r="I9" s="1"/>
  <c r="G9" a="1"/>
  <c r="G9" s="1"/>
  <c r="I8" a="1"/>
  <c r="I8" s="1"/>
  <c r="G8" a="1"/>
  <c r="G8" s="1"/>
  <c r="I7" a="1"/>
  <c r="I7" s="1"/>
  <c r="G7" a="1"/>
  <c r="G7" s="1"/>
  <c r="I6" a="1"/>
  <c r="I6" s="1"/>
  <c r="G6" a="1"/>
  <c r="G6" s="1"/>
  <c r="I5" a="1"/>
  <c r="I5" s="1"/>
  <c r="G5" a="1"/>
  <c r="G5" s="1"/>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M335" i="34"/>
  <c r="M334"/>
  <c r="M246"/>
  <c r="M216"/>
  <c r="M333"/>
  <c r="M332"/>
  <c r="M323"/>
  <c r="M309"/>
  <c r="M306"/>
  <c r="M302"/>
  <c r="M301"/>
  <c r="M263"/>
  <c r="M252"/>
  <c r="M251"/>
  <c r="M236"/>
  <c r="M235"/>
  <c r="M234"/>
  <c r="M233"/>
  <c r="M242"/>
  <c r="M329"/>
  <c r="M319"/>
  <c r="M308"/>
  <c r="M304"/>
  <c r="M262"/>
  <c r="M86"/>
  <c r="C86"/>
  <c r="AD86" s="1"/>
  <c r="M85"/>
  <c r="C85"/>
  <c r="AD85" s="1"/>
  <c r="M84"/>
  <c r="C84"/>
  <c r="AD84" s="1"/>
  <c r="M83"/>
  <c r="C83"/>
  <c r="AD83" s="1"/>
  <c r="M82"/>
  <c r="C82"/>
  <c r="AD82" s="1"/>
  <c r="M81"/>
  <c r="C81"/>
  <c r="AD81" s="1"/>
  <c r="M80"/>
  <c r="C80"/>
  <c r="AD80" s="1"/>
  <c r="M171"/>
  <c r="C171"/>
  <c r="AD171" s="1"/>
  <c r="M170"/>
  <c r="C170"/>
  <c r="AD170" s="1"/>
  <c r="M169"/>
  <c r="C169"/>
  <c r="AD169" s="1"/>
  <c r="M168"/>
  <c r="C168"/>
  <c r="AD168" s="1"/>
  <c r="M167"/>
  <c r="C167"/>
  <c r="AD167" s="1"/>
  <c r="M166"/>
  <c r="C166"/>
  <c r="AD166" s="1"/>
  <c r="M121"/>
  <c r="C121"/>
  <c r="AD121" s="1"/>
  <c r="M120"/>
  <c r="C120"/>
  <c r="AD120" s="1"/>
  <c r="M118"/>
  <c r="C118"/>
  <c r="AD118" s="1"/>
  <c r="M117"/>
  <c r="C117"/>
  <c r="AD117" s="1"/>
  <c r="M116"/>
  <c r="C116"/>
  <c r="AD116" s="1"/>
  <c r="C115"/>
  <c r="AD115" s="1"/>
  <c r="M114"/>
  <c r="C114"/>
  <c r="AD114" s="1"/>
  <c r="M113"/>
  <c r="C113"/>
  <c r="AD113" s="1"/>
  <c r="M112"/>
  <c r="C112"/>
  <c r="AD112" s="1"/>
  <c r="M111"/>
  <c r="C111"/>
  <c r="AD111" s="1"/>
  <c r="M110"/>
  <c r="C110"/>
  <c r="AD110" s="1"/>
  <c r="M109"/>
  <c r="C109"/>
  <c r="AD109" s="1"/>
  <c r="C108"/>
  <c r="AD108" s="1"/>
  <c r="C107"/>
  <c r="AD107" s="1"/>
  <c r="C106"/>
  <c r="AD106" s="1"/>
  <c r="C105"/>
  <c r="AD105" s="1"/>
  <c r="C104"/>
  <c r="AD104" s="1"/>
  <c r="C103"/>
  <c r="AD103" s="1"/>
  <c r="C102"/>
  <c r="AD102" s="1"/>
  <c r="C101"/>
  <c r="AD101" s="1"/>
  <c r="C100"/>
  <c r="AD100" s="1"/>
  <c r="C99"/>
  <c r="AD99" s="1"/>
  <c r="C98"/>
  <c r="AD98" s="1"/>
  <c r="C97"/>
  <c r="AD97" s="1"/>
  <c r="C96"/>
  <c r="AD96" s="1"/>
  <c r="C95"/>
  <c r="AD95" s="1"/>
  <c r="C94"/>
  <c r="AD94" s="1"/>
  <c r="C93"/>
  <c r="AD93" s="1"/>
  <c r="M331"/>
  <c r="C331"/>
  <c r="AD331" s="1"/>
  <c r="M330"/>
  <c r="C330"/>
  <c r="AD330" s="1"/>
  <c r="M322"/>
  <c r="C322"/>
  <c r="AD322" s="1"/>
  <c r="M321"/>
  <c r="C321"/>
  <c r="AD321" s="1"/>
  <c r="M320"/>
  <c r="C320"/>
  <c r="AD320" s="1"/>
  <c r="E27"/>
  <c r="AA27" s="1"/>
  <c r="E26"/>
  <c r="AA26" s="1"/>
  <c r="E25"/>
  <c r="AA25" s="1"/>
  <c r="E77"/>
  <c r="AA77" s="1"/>
  <c r="B21"/>
  <c r="B15"/>
  <c r="A15" s="1"/>
  <c r="B14"/>
  <c r="A14" s="1"/>
  <c r="B13"/>
  <c r="A13" s="1"/>
  <c r="B12"/>
  <c r="A12" s="1"/>
  <c r="AC11"/>
  <c r="AB11"/>
  <c r="AA11"/>
  <c r="Y11"/>
  <c r="W11"/>
  <c r="P11"/>
  <c r="B11"/>
  <c r="A11" s="1"/>
  <c r="AC10"/>
  <c r="AB10"/>
  <c r="AA10"/>
  <c r="Y10"/>
  <c r="W10"/>
  <c r="P10"/>
  <c r="B10"/>
  <c r="A10" s="1"/>
  <c r="X7"/>
  <c r="D53" i="15"/>
  <c r="C53"/>
  <c r="C12" i="61"/>
  <c r="H12"/>
  <c r="X1082" i="34" l="1"/>
  <c r="X1090"/>
  <c r="X1091"/>
  <c r="X1092"/>
  <c r="X1093"/>
  <c r="X1094"/>
  <c r="X1095"/>
  <c r="X1096"/>
  <c r="X1097"/>
  <c r="X961"/>
  <c r="X967"/>
  <c r="X1077"/>
  <c r="X1079"/>
  <c r="X1078"/>
  <c r="A20" i="52"/>
  <c r="I24"/>
  <c r="G22"/>
  <c r="I20"/>
  <c r="H24"/>
  <c r="J22"/>
  <c r="B21"/>
  <c r="A25"/>
  <c r="E23"/>
  <c r="J21"/>
  <c r="B20"/>
  <c r="E24"/>
  <c r="H22"/>
  <c r="J20"/>
  <c r="J25"/>
  <c r="D24"/>
  <c r="B22"/>
  <c r="D20"/>
  <c r="C24"/>
  <c r="E22"/>
  <c r="H20"/>
  <c r="G24"/>
  <c r="A23"/>
  <c r="E21"/>
  <c r="I25"/>
  <c r="A24"/>
  <c r="C22"/>
  <c r="E20"/>
  <c r="H25"/>
  <c r="H23"/>
  <c r="H21"/>
  <c r="G25"/>
  <c r="G23"/>
  <c r="A22"/>
  <c r="C20"/>
  <c r="B24"/>
  <c r="I22"/>
  <c r="A21"/>
  <c r="D25"/>
  <c r="I23"/>
  <c r="I21"/>
  <c r="C25"/>
  <c r="C23"/>
  <c r="C21"/>
  <c r="B25"/>
  <c r="B23"/>
  <c r="G21"/>
  <c r="E25"/>
  <c r="J23"/>
  <c r="D22"/>
  <c r="G20"/>
  <c r="J24"/>
  <c r="D23"/>
  <c r="D21"/>
  <c r="X1022" i="34"/>
  <c r="X1021"/>
  <c r="X1024"/>
  <c r="X1023"/>
  <c r="X1017"/>
  <c r="X1016"/>
  <c r="X1020"/>
  <c r="X1019"/>
  <c r="X1015"/>
  <c r="X1014"/>
  <c r="X1011"/>
  <c r="X1012"/>
  <c r="X1000"/>
  <c r="X1010"/>
  <c r="X1002"/>
  <c r="X1007"/>
  <c r="X997"/>
  <c r="X1001"/>
  <c r="X999"/>
  <c r="X998"/>
  <c r="X963"/>
  <c r="X962"/>
  <c r="X958"/>
  <c r="X957"/>
  <c r="X950"/>
  <c r="X949"/>
  <c r="X964"/>
  <c r="X944"/>
  <c r="X943"/>
  <c r="X948"/>
  <c r="X947"/>
  <c r="X946"/>
  <c r="X945"/>
  <c r="X960"/>
  <c r="X959"/>
  <c r="X954"/>
  <c r="X953"/>
  <c r="X966"/>
  <c r="X965"/>
  <c r="X995"/>
  <c r="X994"/>
  <c r="X1040"/>
  <c r="X1039"/>
  <c r="X1038"/>
  <c r="X1037"/>
  <c r="X1036"/>
  <c r="X1035"/>
  <c r="X1034"/>
  <c r="X1033"/>
  <c r="X1032"/>
  <c r="X1031"/>
  <c r="X1030"/>
  <c r="X1029"/>
  <c r="X1028"/>
  <c r="X1027"/>
  <c r="X1026"/>
  <c r="X1025"/>
  <c r="X1018"/>
  <c r="X1013"/>
  <c r="X1058"/>
  <c r="X1057"/>
  <c r="X1056"/>
  <c r="X1055"/>
  <c r="X1054"/>
  <c r="X1053"/>
  <c r="X1052"/>
  <c r="X1051"/>
  <c r="X1050"/>
  <c r="X1049"/>
  <c r="X1048"/>
  <c r="X1047"/>
  <c r="X1046"/>
  <c r="X1045"/>
  <c r="X1044"/>
  <c r="X1043"/>
  <c r="X1042"/>
  <c r="X1041"/>
  <c r="X1076"/>
  <c r="X1075"/>
  <c r="X1074"/>
  <c r="X1073"/>
  <c r="X1072"/>
  <c r="X1071"/>
  <c r="X1070"/>
  <c r="X1069"/>
  <c r="X1068"/>
  <c r="X1067"/>
  <c r="X1066"/>
  <c r="X1065"/>
  <c r="X1064"/>
  <c r="X1063"/>
  <c r="X1062"/>
  <c r="X1061"/>
  <c r="X1060"/>
  <c r="X1059"/>
  <c r="X1089"/>
  <c r="X1088"/>
  <c r="X1087"/>
  <c r="X1086"/>
  <c r="X1085"/>
  <c r="X1084"/>
  <c r="X1083"/>
  <c r="X1081"/>
  <c r="X1080"/>
  <c r="X1110"/>
  <c r="X1108"/>
  <c r="X1106"/>
  <c r="X1105"/>
  <c r="X1103"/>
  <c r="X1102"/>
  <c r="X1101"/>
  <c r="X1100"/>
  <c r="X1098"/>
  <c r="X1129"/>
  <c r="X1128"/>
  <c r="X1127"/>
  <c r="X1126"/>
  <c r="X1125"/>
  <c r="X1124"/>
  <c r="X1123"/>
  <c r="X1122"/>
  <c r="X1121"/>
  <c r="X1120"/>
  <c r="X1119"/>
  <c r="X1117"/>
  <c r="X1116"/>
  <c r="X1114"/>
  <c r="X1113"/>
  <c r="X1112"/>
  <c r="X809"/>
  <c r="X1147"/>
  <c r="X1146"/>
  <c r="X1145"/>
  <c r="X1144"/>
  <c r="X1143"/>
  <c r="X1142"/>
  <c r="X1141"/>
  <c r="X1140"/>
  <c r="X1139"/>
  <c r="X1138"/>
  <c r="X1137"/>
  <c r="X1136"/>
  <c r="X1135"/>
  <c r="X1134"/>
  <c r="X1132"/>
  <c r="X1131"/>
  <c r="X808"/>
  <c r="X810"/>
  <c r="X806"/>
  <c r="X807"/>
  <c r="AA828"/>
  <c r="AA987"/>
  <c r="AA989"/>
  <c r="AA991"/>
  <c r="AA980"/>
  <c r="AA892"/>
  <c r="AA978"/>
  <c r="AA977"/>
  <c r="AA976"/>
  <c r="AA862"/>
  <c r="AA928"/>
  <c r="AA925"/>
  <c r="AA924"/>
  <c r="AA893"/>
  <c r="AA986"/>
  <c r="AA988"/>
  <c r="AA990"/>
  <c r="AA931"/>
  <c r="AA863"/>
  <c r="AA927"/>
  <c r="AA926"/>
  <c r="AA895"/>
  <c r="AA894"/>
  <c r="AA973"/>
  <c r="AA979"/>
  <c r="AA930"/>
  <c r="AA938"/>
  <c r="AA932"/>
  <c r="AA934"/>
  <c r="X986"/>
  <c r="X988"/>
  <c r="X990"/>
  <c r="X987"/>
  <c r="X989"/>
  <c r="X991"/>
  <c r="X978"/>
  <c r="X976"/>
  <c r="X977"/>
  <c r="X938"/>
  <c r="X980"/>
  <c r="X973"/>
  <c r="X979"/>
  <c r="X930"/>
  <c r="X934"/>
  <c r="X931"/>
  <c r="X932"/>
  <c r="X863"/>
  <c r="X862"/>
  <c r="X927"/>
  <c r="X928"/>
  <c r="X925"/>
  <c r="X926"/>
  <c r="X924"/>
  <c r="X894"/>
  <c r="X893"/>
  <c r="X892"/>
  <c r="X828"/>
  <c r="X895"/>
  <c r="AA850"/>
  <c r="AA832"/>
  <c r="AA858"/>
  <c r="AA836"/>
  <c r="AA826"/>
  <c r="AA833"/>
  <c r="AA847"/>
  <c r="AA827"/>
  <c r="AA724"/>
  <c r="AA848"/>
  <c r="AA849"/>
  <c r="AA825"/>
  <c r="AA857"/>
  <c r="AA830"/>
  <c r="AA831"/>
  <c r="AA845"/>
  <c r="AA837"/>
  <c r="AA824"/>
  <c r="AA843"/>
  <c r="AA813"/>
  <c r="AA844"/>
  <c r="AA835"/>
  <c r="AA811"/>
  <c r="AA841"/>
  <c r="AA851"/>
  <c r="AA846"/>
  <c r="AA815"/>
  <c r="AA839"/>
  <c r="AA819"/>
  <c r="AA814"/>
  <c r="AA817"/>
  <c r="AA842"/>
  <c r="AA812"/>
  <c r="AA853"/>
  <c r="AA840"/>
  <c r="X850"/>
  <c r="X851"/>
  <c r="X837"/>
  <c r="X836"/>
  <c r="X826"/>
  <c r="X827"/>
  <c r="X832"/>
  <c r="X833"/>
  <c r="X857"/>
  <c r="X858"/>
  <c r="X724"/>
  <c r="X830"/>
  <c r="X831"/>
  <c r="X849"/>
  <c r="X848"/>
  <c r="X825"/>
  <c r="X811"/>
  <c r="X853"/>
  <c r="X819"/>
  <c r="X847"/>
  <c r="X845"/>
  <c r="X842"/>
  <c r="X846"/>
  <c r="X844"/>
  <c r="X843"/>
  <c r="X841"/>
  <c r="X840"/>
  <c r="X835"/>
  <c r="X839"/>
  <c r="X824"/>
  <c r="X815"/>
  <c r="X813"/>
  <c r="X814"/>
  <c r="X817"/>
  <c r="X812"/>
  <c r="AA564"/>
  <c r="AA565"/>
  <c r="AA560"/>
  <c r="AA561"/>
  <c r="AA562"/>
  <c r="AA563"/>
  <c r="AA486"/>
  <c r="AA487"/>
  <c r="AA492"/>
  <c r="AA493"/>
  <c r="AA21"/>
  <c r="AA81"/>
  <c r="AA85"/>
  <c r="AA89"/>
  <c r="AA93"/>
  <c r="AA97"/>
  <c r="AA101"/>
  <c r="AA105"/>
  <c r="AA109"/>
  <c r="AA113"/>
  <c r="AA117"/>
  <c r="AA121"/>
  <c r="AA125"/>
  <c r="AA129"/>
  <c r="AA152"/>
  <c r="AA156"/>
  <c r="AA160"/>
  <c r="AA164"/>
  <c r="AA168"/>
  <c r="AA172"/>
  <c r="AA176"/>
  <c r="AA180"/>
  <c r="AA184"/>
  <c r="AA188"/>
  <c r="AA192"/>
  <c r="AA196"/>
  <c r="AA200"/>
  <c r="AA204"/>
  <c r="AA216"/>
  <c r="AA244"/>
  <c r="AA247"/>
  <c r="AA249"/>
  <c r="AA251"/>
  <c r="AA253"/>
  <c r="AA255"/>
  <c r="AA263"/>
  <c r="AA265"/>
  <c r="AA267"/>
  <c r="AA269"/>
  <c r="AA271"/>
  <c r="AA273"/>
  <c r="AA275"/>
  <c r="AA277"/>
  <c r="AA279"/>
  <c r="AA281"/>
  <c r="AA283"/>
  <c r="AA285"/>
  <c r="AA287"/>
  <c r="AA289"/>
  <c r="AA291"/>
  <c r="AA295"/>
  <c r="AA299"/>
  <c r="AA301"/>
  <c r="AA303"/>
  <c r="AA305"/>
  <c r="AA307"/>
  <c r="AA309"/>
  <c r="AA311"/>
  <c r="AA313"/>
  <c r="AA315"/>
  <c r="AA317"/>
  <c r="AA319"/>
  <c r="AA322"/>
  <c r="AA329"/>
  <c r="AA336"/>
  <c r="AA339"/>
  <c r="AA342"/>
  <c r="AA366"/>
  <c r="AA368"/>
  <c r="AA370"/>
  <c r="AA372"/>
  <c r="AA374"/>
  <c r="AA377"/>
  <c r="AA379"/>
  <c r="AA22"/>
  <c r="AA82"/>
  <c r="AA86"/>
  <c r="AA94"/>
  <c r="AA98"/>
  <c r="AA102"/>
  <c r="AA106"/>
  <c r="AA110"/>
  <c r="AA114"/>
  <c r="AA118"/>
  <c r="AA122"/>
  <c r="AA126"/>
  <c r="AA130"/>
  <c r="AA132"/>
  <c r="AA134"/>
  <c r="AA136"/>
  <c r="AA138"/>
  <c r="AA153"/>
  <c r="AA157"/>
  <c r="AA161"/>
  <c r="AA165"/>
  <c r="AA169"/>
  <c r="AA173"/>
  <c r="AA177"/>
  <c r="AA181"/>
  <c r="AA185"/>
  <c r="AA189"/>
  <c r="AA193"/>
  <c r="AA197"/>
  <c r="AA201"/>
  <c r="AA205"/>
  <c r="AA207"/>
  <c r="AA209"/>
  <c r="AA211"/>
  <c r="AA213"/>
  <c r="AA215"/>
  <c r="AA218"/>
  <c r="AA220"/>
  <c r="AA222"/>
  <c r="AA224"/>
  <c r="AA226"/>
  <c r="AA228"/>
  <c r="AA230"/>
  <c r="AA232"/>
  <c r="AA234"/>
  <c r="AA236"/>
  <c r="AA238"/>
  <c r="AA240"/>
  <c r="AA243"/>
  <c r="AA256"/>
  <c r="AA258"/>
  <c r="AA260"/>
  <c r="AA294"/>
  <c r="AA297"/>
  <c r="AA323"/>
  <c r="AA325"/>
  <c r="AA327"/>
  <c r="AA332"/>
  <c r="AA335"/>
  <c r="AA338"/>
  <c r="AA341"/>
  <c r="AA344"/>
  <c r="AA346"/>
  <c r="AA348"/>
  <c r="AA350"/>
  <c r="AA352"/>
  <c r="AA354"/>
  <c r="AA356"/>
  <c r="AA358"/>
  <c r="AA360"/>
  <c r="AA362"/>
  <c r="AA364"/>
  <c r="AA383"/>
  <c r="AA385"/>
  <c r="AA387"/>
  <c r="AA389"/>
  <c r="AA391"/>
  <c r="AA393"/>
  <c r="AA395"/>
  <c r="AA406"/>
  <c r="AA23"/>
  <c r="AA83"/>
  <c r="AA87"/>
  <c r="AA91"/>
  <c r="AA95"/>
  <c r="AA99"/>
  <c r="AA103"/>
  <c r="AA107"/>
  <c r="AA111"/>
  <c r="AA115"/>
  <c r="AA119"/>
  <c r="AA123"/>
  <c r="AA127"/>
  <c r="AA154"/>
  <c r="AA158"/>
  <c r="AA162"/>
  <c r="AA166"/>
  <c r="AA170"/>
  <c r="AA174"/>
  <c r="AA178"/>
  <c r="AA182"/>
  <c r="AA186"/>
  <c r="AA190"/>
  <c r="AA194"/>
  <c r="AA198"/>
  <c r="AA202"/>
  <c r="AA242"/>
  <c r="AA246"/>
  <c r="AA248"/>
  <c r="AA250"/>
  <c r="AA252"/>
  <c r="AA254"/>
  <c r="AA262"/>
  <c r="AA264"/>
  <c r="AA266"/>
  <c r="AA268"/>
  <c r="AA270"/>
  <c r="AA272"/>
  <c r="AA274"/>
  <c r="AA276"/>
  <c r="AA278"/>
  <c r="AA280"/>
  <c r="AA282"/>
  <c r="AA284"/>
  <c r="AA286"/>
  <c r="AA288"/>
  <c r="AA290"/>
  <c r="AA293"/>
  <c r="AA296"/>
  <c r="AA300"/>
  <c r="AA302"/>
  <c r="AA304"/>
  <c r="AA306"/>
  <c r="AA308"/>
  <c r="AA310"/>
  <c r="AA312"/>
  <c r="AA314"/>
  <c r="AA316"/>
  <c r="AA318"/>
  <c r="AA320"/>
  <c r="AA330"/>
  <c r="AA334"/>
  <c r="AA337"/>
  <c r="AA340"/>
  <c r="AA367"/>
  <c r="AA369"/>
  <c r="AA371"/>
  <c r="AA373"/>
  <c r="AA376"/>
  <c r="AA378"/>
  <c r="AA380"/>
  <c r="AA382"/>
  <c r="AA397"/>
  <c r="AA399"/>
  <c r="AA20"/>
  <c r="AA24"/>
  <c r="AA80"/>
  <c r="AA84"/>
  <c r="AA88"/>
  <c r="AA92"/>
  <c r="AA96"/>
  <c r="AA100"/>
  <c r="AA104"/>
  <c r="AA108"/>
  <c r="AA112"/>
  <c r="AA116"/>
  <c r="AA120"/>
  <c r="AA124"/>
  <c r="AA128"/>
  <c r="AA131"/>
  <c r="AA133"/>
  <c r="AA135"/>
  <c r="AA137"/>
  <c r="AA151"/>
  <c r="AA155"/>
  <c r="AA159"/>
  <c r="AA163"/>
  <c r="AA167"/>
  <c r="AA171"/>
  <c r="AA175"/>
  <c r="AA179"/>
  <c r="AA183"/>
  <c r="AA187"/>
  <c r="AA191"/>
  <c r="AA195"/>
  <c r="AA199"/>
  <c r="AA203"/>
  <c r="AA206"/>
  <c r="AA208"/>
  <c r="AA210"/>
  <c r="AA212"/>
  <c r="AA214"/>
  <c r="AA217"/>
  <c r="AA219"/>
  <c r="AA221"/>
  <c r="AA223"/>
  <c r="AA225"/>
  <c r="AA227"/>
  <c r="AA229"/>
  <c r="AA231"/>
  <c r="AA233"/>
  <c r="AA235"/>
  <c r="AA237"/>
  <c r="AA239"/>
  <c r="AA241"/>
  <c r="AA245"/>
  <c r="AA257"/>
  <c r="AA259"/>
  <c r="AA261"/>
  <c r="AA292"/>
  <c r="AA298"/>
  <c r="AA321"/>
  <c r="AA324"/>
  <c r="AA326"/>
  <c r="AA328"/>
  <c r="AA331"/>
  <c r="AA333"/>
  <c r="AA343"/>
  <c r="AA345"/>
  <c r="AA347"/>
  <c r="AA349"/>
  <c r="AA351"/>
  <c r="AA353"/>
  <c r="AA355"/>
  <c r="AA357"/>
  <c r="AA359"/>
  <c r="AA361"/>
  <c r="AA363"/>
  <c r="AA365"/>
  <c r="AA375"/>
  <c r="AA384"/>
  <c r="AA386"/>
  <c r="AA388"/>
  <c r="AA390"/>
  <c r="AA392"/>
  <c r="AA394"/>
  <c r="AA396"/>
  <c r="AA400"/>
  <c r="AA402"/>
  <c r="AA405"/>
  <c r="AA415"/>
  <c r="AA420"/>
  <c r="AA422"/>
  <c r="AA424"/>
  <c r="AA427"/>
  <c r="AA440"/>
  <c r="AA443"/>
  <c r="AA445"/>
  <c r="AA451"/>
  <c r="AA455"/>
  <c r="AA457"/>
  <c r="AA459"/>
  <c r="AA461"/>
  <c r="AA566"/>
  <c r="AA572"/>
  <c r="AA576"/>
  <c r="AA579"/>
  <c r="AA581"/>
  <c r="AA583"/>
  <c r="AA585"/>
  <c r="AA587"/>
  <c r="AA589"/>
  <c r="AA591"/>
  <c r="AA593"/>
  <c r="AA595"/>
  <c r="AA597"/>
  <c r="AA599"/>
  <c r="AA601"/>
  <c r="AA603"/>
  <c r="AA613"/>
  <c r="AA617"/>
  <c r="AA639"/>
  <c r="AA641"/>
  <c r="AA643"/>
  <c r="AA645"/>
  <c r="AA647"/>
  <c r="AA649"/>
  <c r="AA651"/>
  <c r="AA653"/>
  <c r="AA655"/>
  <c r="AA658"/>
  <c r="AA663"/>
  <c r="AA381"/>
  <c r="AA398"/>
  <c r="AA407"/>
  <c r="AA410"/>
  <c r="AA412"/>
  <c r="AA414"/>
  <c r="AA418"/>
  <c r="AA428"/>
  <c r="AA431"/>
  <c r="AA433"/>
  <c r="AA435"/>
  <c r="AA437"/>
  <c r="AA439"/>
  <c r="AA442"/>
  <c r="AA446"/>
  <c r="AA448"/>
  <c r="AA454"/>
  <c r="AA463"/>
  <c r="AA465"/>
  <c r="AA467"/>
  <c r="AA469"/>
  <c r="AA471"/>
  <c r="AA473"/>
  <c r="AA475"/>
  <c r="AA477"/>
  <c r="AA479"/>
  <c r="AA481"/>
  <c r="AA483"/>
  <c r="AA485"/>
  <c r="AA491"/>
  <c r="AA495"/>
  <c r="AA497"/>
  <c r="AA499"/>
  <c r="AA501"/>
  <c r="AA503"/>
  <c r="AA505"/>
  <c r="AA507"/>
  <c r="AA511"/>
  <c r="AA513"/>
  <c r="AA515"/>
  <c r="AA517"/>
  <c r="AA519"/>
  <c r="AA521"/>
  <c r="AA523"/>
  <c r="AA525"/>
  <c r="AA527"/>
  <c r="AA529"/>
  <c r="AA531"/>
  <c r="AA533"/>
  <c r="AA535"/>
  <c r="AA537"/>
  <c r="AA539"/>
  <c r="AA541"/>
  <c r="AA543"/>
  <c r="AA545"/>
  <c r="AA547"/>
  <c r="AA549"/>
  <c r="AA551"/>
  <c r="AA553"/>
  <c r="AA555"/>
  <c r="AA557"/>
  <c r="AA559"/>
  <c r="AA568"/>
  <c r="AA571"/>
  <c r="AA575"/>
  <c r="AA605"/>
  <c r="AA607"/>
  <c r="AA609"/>
  <c r="AA612"/>
  <c r="AA616"/>
  <c r="AA619"/>
  <c r="AA621"/>
  <c r="AA623"/>
  <c r="AA625"/>
  <c r="AA627"/>
  <c r="AA629"/>
  <c r="AA631"/>
  <c r="AA633"/>
  <c r="AA635"/>
  <c r="AA637"/>
  <c r="AA657"/>
  <c r="AA662"/>
  <c r="AA665"/>
  <c r="AA667"/>
  <c r="AA669"/>
  <c r="AA401"/>
  <c r="AA403"/>
  <c r="AA408"/>
  <c r="AA417"/>
  <c r="AA421"/>
  <c r="AA423"/>
  <c r="AA425"/>
  <c r="AA429"/>
  <c r="AA441"/>
  <c r="AA444"/>
  <c r="AA450"/>
  <c r="AA453"/>
  <c r="AA456"/>
  <c r="AA458"/>
  <c r="AA460"/>
  <c r="AA570"/>
  <c r="AA574"/>
  <c r="AA578"/>
  <c r="AA580"/>
  <c r="AA582"/>
  <c r="AA584"/>
  <c r="AA586"/>
  <c r="AA588"/>
  <c r="AA590"/>
  <c r="AA592"/>
  <c r="AA594"/>
  <c r="AA596"/>
  <c r="AA598"/>
  <c r="AA600"/>
  <c r="AA602"/>
  <c r="AA604"/>
  <c r="AA611"/>
  <c r="AA615"/>
  <c r="AA638"/>
  <c r="AA640"/>
  <c r="AA642"/>
  <c r="AA644"/>
  <c r="AA646"/>
  <c r="AA648"/>
  <c r="AA650"/>
  <c r="AA652"/>
  <c r="AA654"/>
  <c r="AA656"/>
  <c r="AA404"/>
  <c r="AA409"/>
  <c r="AA411"/>
  <c r="AA413"/>
  <c r="AA416"/>
  <c r="AA419"/>
  <c r="AA426"/>
  <c r="AA430"/>
  <c r="AA432"/>
  <c r="AA434"/>
  <c r="AA436"/>
  <c r="AA438"/>
  <c r="AA447"/>
  <c r="AA449"/>
  <c r="AA452"/>
  <c r="AA462"/>
  <c r="AA464"/>
  <c r="AA466"/>
  <c r="AA468"/>
  <c r="AA470"/>
  <c r="AA472"/>
  <c r="AA474"/>
  <c r="AA476"/>
  <c r="AA478"/>
  <c r="AA480"/>
  <c r="AA482"/>
  <c r="AA484"/>
  <c r="AA490"/>
  <c r="AA494"/>
  <c r="AA496"/>
  <c r="AA498"/>
  <c r="AA500"/>
  <c r="AA502"/>
  <c r="AA504"/>
  <c r="AA506"/>
  <c r="AA510"/>
  <c r="AA512"/>
  <c r="AA514"/>
  <c r="AA516"/>
  <c r="AA518"/>
  <c r="AA520"/>
  <c r="AA522"/>
  <c r="AA524"/>
  <c r="AA526"/>
  <c r="AA528"/>
  <c r="AA530"/>
  <c r="AA532"/>
  <c r="AA534"/>
  <c r="AA536"/>
  <c r="AA538"/>
  <c r="AA540"/>
  <c r="AA542"/>
  <c r="AA544"/>
  <c r="AA546"/>
  <c r="AA548"/>
  <c r="AA550"/>
  <c r="AA552"/>
  <c r="AA554"/>
  <c r="AA556"/>
  <c r="AA558"/>
  <c r="AA567"/>
  <c r="AA569"/>
  <c r="AA573"/>
  <c r="AA577"/>
  <c r="AA606"/>
  <c r="AA608"/>
  <c r="AA610"/>
  <c r="AA614"/>
  <c r="AA618"/>
  <c r="AA620"/>
  <c r="AA622"/>
  <c r="AA624"/>
  <c r="AA626"/>
  <c r="AA628"/>
  <c r="AA630"/>
  <c r="AA632"/>
  <c r="AA634"/>
  <c r="AA636"/>
  <c r="AA659"/>
  <c r="AA668"/>
  <c r="AA677"/>
  <c r="AA679"/>
  <c r="AA681"/>
  <c r="AA683"/>
  <c r="AA685"/>
  <c r="AA687"/>
  <c r="AA689"/>
  <c r="AA691"/>
  <c r="AA693"/>
  <c r="AA695"/>
  <c r="AA697"/>
  <c r="AA699"/>
  <c r="AA701"/>
  <c r="AA703"/>
  <c r="AA705"/>
  <c r="AA707"/>
  <c r="AA709"/>
  <c r="AA711"/>
  <c r="AA713"/>
  <c r="AA715"/>
  <c r="AA717"/>
  <c r="AA719"/>
  <c r="AA721"/>
  <c r="AA723"/>
  <c r="AA726"/>
  <c r="AA728"/>
  <c r="AA734"/>
  <c r="AA738"/>
  <c r="AA742"/>
  <c r="AA746"/>
  <c r="AA666"/>
  <c r="AA671"/>
  <c r="AA731"/>
  <c r="AA735"/>
  <c r="AA739"/>
  <c r="AA743"/>
  <c r="AA747"/>
  <c r="AA805"/>
  <c r="AA816"/>
  <c r="AA821"/>
  <c r="AA852"/>
  <c r="AA854"/>
  <c r="AA856"/>
  <c r="AA869"/>
  <c r="AA871"/>
  <c r="AA873"/>
  <c r="AA875"/>
  <c r="AA877"/>
  <c r="AA879"/>
  <c r="AA881"/>
  <c r="AA883"/>
  <c r="AA885"/>
  <c r="AA818"/>
  <c r="AA888"/>
  <c r="AA890"/>
  <c r="AA896"/>
  <c r="AA898"/>
  <c r="AA900"/>
  <c r="AA902"/>
  <c r="AA904"/>
  <c r="AA906"/>
  <c r="AA908"/>
  <c r="AA910"/>
  <c r="AA912"/>
  <c r="AA914"/>
  <c r="AA916"/>
  <c r="AA918"/>
  <c r="AA919"/>
  <c r="AA921"/>
  <c r="AA923"/>
  <c r="AA936"/>
  <c r="AA939"/>
  <c r="AA941"/>
  <c r="AA951"/>
  <c r="AA955"/>
  <c r="AA968"/>
  <c r="AA970"/>
  <c r="AA975"/>
  <c r="AA993"/>
  <c r="AA1003"/>
  <c r="AA1005"/>
  <c r="AA1008"/>
  <c r="AA1148"/>
  <c r="AA1150"/>
  <c r="AA1152"/>
  <c r="AA1154"/>
  <c r="AA664"/>
  <c r="AA678"/>
  <c r="AA680"/>
  <c r="AA682"/>
  <c r="AA684"/>
  <c r="AA686"/>
  <c r="AA688"/>
  <c r="AA690"/>
  <c r="AA692"/>
  <c r="AA694"/>
  <c r="AA696"/>
  <c r="AA698"/>
  <c r="AA700"/>
  <c r="AA702"/>
  <c r="AA704"/>
  <c r="AA706"/>
  <c r="AA708"/>
  <c r="AA710"/>
  <c r="AA712"/>
  <c r="AA714"/>
  <c r="AA716"/>
  <c r="AA718"/>
  <c r="AA720"/>
  <c r="AA722"/>
  <c r="AA725"/>
  <c r="AA727"/>
  <c r="AA729"/>
  <c r="AA732"/>
  <c r="AA736"/>
  <c r="AA740"/>
  <c r="AA744"/>
  <c r="AA748"/>
  <c r="AA661"/>
  <c r="AA670"/>
  <c r="AA733"/>
  <c r="AA737"/>
  <c r="AA741"/>
  <c r="AA745"/>
  <c r="AA749"/>
  <c r="AA804"/>
  <c r="AA820"/>
  <c r="AA822"/>
  <c r="AA823"/>
  <c r="AA834"/>
  <c r="AA838"/>
  <c r="AA855"/>
  <c r="AA868"/>
  <c r="AA870"/>
  <c r="AA872"/>
  <c r="AA874"/>
  <c r="AA876"/>
  <c r="AA878"/>
  <c r="AA880"/>
  <c r="AA882"/>
  <c r="AA884"/>
  <c r="AA886"/>
  <c r="AA887"/>
  <c r="AA889"/>
  <c r="AA891"/>
  <c r="AA897"/>
  <c r="AA899"/>
  <c r="AA901"/>
  <c r="AA903"/>
  <c r="AA905"/>
  <c r="AA907"/>
  <c r="AA909"/>
  <c r="AA911"/>
  <c r="AA913"/>
  <c r="AA915"/>
  <c r="AA917"/>
  <c r="AA829"/>
  <c r="AA920"/>
  <c r="AA922"/>
  <c r="AA929"/>
  <c r="AA933"/>
  <c r="AA935"/>
  <c r="AA937"/>
  <c r="AA940"/>
  <c r="AA942"/>
  <c r="AA952"/>
  <c r="AA956"/>
  <c r="AA969"/>
  <c r="AA974"/>
  <c r="AA985"/>
  <c r="AA992"/>
  <c r="AA996"/>
  <c r="AA1004"/>
  <c r="AA1006"/>
  <c r="AA1009"/>
  <c r="AA1149"/>
  <c r="AA1151"/>
  <c r="AA1153"/>
  <c r="AA1155"/>
  <c r="AA1157"/>
  <c r="AA1159"/>
  <c r="AA1161"/>
  <c r="AA1163"/>
  <c r="AA1165"/>
  <c r="AA1162"/>
  <c r="AA802"/>
  <c r="AA1160"/>
  <c r="AA1164"/>
  <c r="AA1158"/>
  <c r="AA1166"/>
  <c r="AA1156"/>
  <c r="AA754"/>
  <c r="AA771"/>
  <c r="AA773"/>
  <c r="AA799"/>
  <c r="AA778"/>
  <c r="AA753"/>
  <c r="AA761"/>
  <c r="AA774"/>
  <c r="AA787"/>
  <c r="AA800"/>
  <c r="AA779"/>
  <c r="AA764"/>
  <c r="AA784"/>
  <c r="AA803"/>
  <c r="AA758"/>
  <c r="AA794"/>
  <c r="AA783"/>
  <c r="AA762"/>
  <c r="AA782"/>
  <c r="AA755"/>
  <c r="AA765"/>
  <c r="AA777"/>
  <c r="AA789"/>
  <c r="AA756"/>
  <c r="AA786"/>
  <c r="AA768"/>
  <c r="AA792"/>
  <c r="AA763"/>
  <c r="AA798"/>
  <c r="AA788"/>
  <c r="AA766"/>
  <c r="AA790"/>
  <c r="AA757"/>
  <c r="AA769"/>
  <c r="AA781"/>
  <c r="AA793"/>
  <c r="AA760"/>
  <c r="AA795"/>
  <c r="AA776"/>
  <c r="AA796"/>
  <c r="AA767"/>
  <c r="AA752"/>
  <c r="AA791"/>
  <c r="AA770"/>
  <c r="AA751"/>
  <c r="AA759"/>
  <c r="AA772"/>
  <c r="AA785"/>
  <c r="AA797"/>
  <c r="AA775"/>
  <c r="AA801"/>
  <c r="AA780"/>
  <c r="AA750"/>
  <c r="AA673"/>
  <c r="AA675"/>
  <c r="AA674"/>
  <c r="AA676"/>
  <c r="AA140"/>
  <c r="AA144"/>
  <c r="AA143"/>
  <c r="AA146"/>
  <c r="AA141"/>
  <c r="AA148"/>
  <c r="AA730"/>
  <c r="AA142"/>
  <c r="AA145"/>
  <c r="AA139"/>
  <c r="AA147"/>
  <c r="AA150"/>
  <c r="AA149"/>
  <c r="AA90"/>
  <c r="AA672"/>
  <c r="AA40"/>
  <c r="AA41"/>
  <c r="AA55"/>
  <c r="AA49"/>
  <c r="AA70"/>
  <c r="AA56"/>
  <c r="AA46"/>
  <c r="AA61"/>
  <c r="AA71"/>
  <c r="AA52"/>
  <c r="AA51"/>
  <c r="AA50"/>
  <c r="AA45"/>
  <c r="AA57"/>
  <c r="AA63"/>
  <c r="AA72"/>
  <c r="AA64"/>
  <c r="AA54"/>
  <c r="AA65"/>
  <c r="AA73"/>
  <c r="AA34"/>
  <c r="AA59"/>
  <c r="AA58"/>
  <c r="AA48"/>
  <c r="AA62"/>
  <c r="AA66"/>
  <c r="AA74"/>
  <c r="AA75"/>
  <c r="AA60"/>
  <c r="AA67"/>
  <c r="AA36"/>
  <c r="AA39"/>
  <c r="AA37"/>
  <c r="AA53"/>
  <c r="AA35"/>
  <c r="AA68"/>
  <c r="AA44"/>
  <c r="AA38"/>
  <c r="AA47"/>
  <c r="AA69"/>
  <c r="AA42"/>
  <c r="AA43"/>
  <c r="AA30"/>
  <c r="AA29"/>
  <c r="AA31"/>
  <c r="AA33"/>
  <c r="AA28"/>
  <c r="AA79"/>
  <c r="AA32"/>
  <c r="AA78"/>
  <c r="AA76"/>
  <c r="X564"/>
  <c r="X565"/>
  <c r="X560"/>
  <c r="X561"/>
  <c r="X562"/>
  <c r="X563"/>
  <c r="X486"/>
  <c r="X487"/>
  <c r="X492"/>
  <c r="X493"/>
  <c r="J38" i="63"/>
  <c r="E38"/>
  <c r="K37"/>
  <c r="F37"/>
  <c r="B37"/>
  <c r="H36"/>
  <c r="C36"/>
  <c r="A36" s="1"/>
  <c r="I35"/>
  <c r="D35"/>
  <c r="K38"/>
  <c r="F38"/>
  <c r="B38"/>
  <c r="H37"/>
  <c r="C37"/>
  <c r="A37" s="1"/>
  <c r="I36"/>
  <c r="D36"/>
  <c r="J35"/>
  <c r="E35"/>
  <c r="C35"/>
  <c r="A35" s="1"/>
  <c r="H38"/>
  <c r="C38"/>
  <c r="A38" s="1"/>
  <c r="I37"/>
  <c r="D37"/>
  <c r="J36"/>
  <c r="E36"/>
  <c r="K35"/>
  <c r="F35"/>
  <c r="B35"/>
  <c r="I38"/>
  <c r="D38"/>
  <c r="J37"/>
  <c r="E37"/>
  <c r="K36"/>
  <c r="F36"/>
  <c r="B36"/>
  <c r="H35"/>
  <c r="X20" i="34"/>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2"/>
  <c r="X134"/>
  <c r="X136"/>
  <c r="X138"/>
  <c r="X206"/>
  <c r="X208"/>
  <c r="X210"/>
  <c r="X212"/>
  <c r="X214"/>
  <c r="X218"/>
  <c r="X220"/>
  <c r="X222"/>
  <c r="X224"/>
  <c r="X226"/>
  <c r="X228"/>
  <c r="X230"/>
  <c r="X232"/>
  <c r="X234"/>
  <c r="X236"/>
  <c r="X238"/>
  <c r="X240"/>
  <c r="X247"/>
  <c r="X249"/>
  <c r="X251"/>
  <c r="X253"/>
  <c r="X255"/>
  <c r="X256"/>
  <c r="X258"/>
  <c r="X260"/>
  <c r="X263"/>
  <c r="X265"/>
  <c r="X267"/>
  <c r="X269"/>
  <c r="X271"/>
  <c r="X273"/>
  <c r="X275"/>
  <c r="X277"/>
  <c r="X279"/>
  <c r="X281"/>
  <c r="X283"/>
  <c r="X285"/>
  <c r="X287"/>
  <c r="X289"/>
  <c r="X291"/>
  <c r="X292"/>
  <c r="X293"/>
  <c r="X294"/>
  <c r="X295"/>
  <c r="X298"/>
  <c r="X299"/>
  <c r="X301"/>
  <c r="X303"/>
  <c r="X305"/>
  <c r="X307"/>
  <c r="X309"/>
  <c r="X311"/>
  <c r="X313"/>
  <c r="X315"/>
  <c r="X317"/>
  <c r="X319"/>
  <c r="X324"/>
  <c r="X326"/>
  <c r="X328"/>
  <c r="X329"/>
  <c r="X332"/>
  <c r="X337"/>
  <c r="X338"/>
  <c r="X339"/>
  <c r="X344"/>
  <c r="X346"/>
  <c r="X348"/>
  <c r="X350"/>
  <c r="X352"/>
  <c r="X354"/>
  <c r="X356"/>
  <c r="X358"/>
  <c r="X360"/>
  <c r="X362"/>
  <c r="X364"/>
  <c r="X367"/>
  <c r="X369"/>
  <c r="X371"/>
  <c r="X373"/>
  <c r="X377"/>
  <c r="X379"/>
  <c r="X381"/>
  <c r="X384"/>
  <c r="X386"/>
  <c r="X388"/>
  <c r="X390"/>
  <c r="X392"/>
  <c r="X394"/>
  <c r="X396"/>
  <c r="X397"/>
  <c r="X399"/>
  <c r="X401"/>
  <c r="X403"/>
  <c r="X404"/>
  <c r="X405"/>
  <c r="X406"/>
  <c r="X407"/>
  <c r="X408"/>
  <c r="X409"/>
  <c r="X411"/>
  <c r="X413"/>
  <c r="X419"/>
  <c r="X420"/>
  <c r="X422"/>
  <c r="X424"/>
  <c r="X431"/>
  <c r="X433"/>
  <c r="X435"/>
  <c r="X437"/>
  <c r="X439"/>
  <c r="X440"/>
  <c r="X444"/>
  <c r="X447"/>
  <c r="X449"/>
  <c r="X450"/>
  <c r="X456"/>
  <c r="X458"/>
  <c r="X460"/>
  <c r="X463"/>
  <c r="X465"/>
  <c r="X467"/>
  <c r="X469"/>
  <c r="X471"/>
  <c r="X473"/>
  <c r="X475"/>
  <c r="X477"/>
  <c r="X479"/>
  <c r="X481"/>
  <c r="X483"/>
  <c r="X485"/>
  <c r="X491"/>
  <c r="X495"/>
  <c r="X497"/>
  <c r="X499"/>
  <c r="X501"/>
  <c r="X503"/>
  <c r="X505"/>
  <c r="X507"/>
  <c r="X511"/>
  <c r="X513"/>
  <c r="X515"/>
  <c r="X131"/>
  <c r="X133"/>
  <c r="X135"/>
  <c r="X137"/>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7"/>
  <c r="X209"/>
  <c r="X211"/>
  <c r="X213"/>
  <c r="X215"/>
  <c r="X216"/>
  <c r="X217"/>
  <c r="X219"/>
  <c r="X221"/>
  <c r="X223"/>
  <c r="X225"/>
  <c r="X227"/>
  <c r="X229"/>
  <c r="X231"/>
  <c r="X233"/>
  <c r="X235"/>
  <c r="X237"/>
  <c r="X239"/>
  <c r="X241"/>
  <c r="X242"/>
  <c r="X243"/>
  <c r="X244"/>
  <c r="X245"/>
  <c r="X246"/>
  <c r="X248"/>
  <c r="X250"/>
  <c r="X252"/>
  <c r="X254"/>
  <c r="X257"/>
  <c r="X259"/>
  <c r="X261"/>
  <c r="X262"/>
  <c r="X264"/>
  <c r="X266"/>
  <c r="X268"/>
  <c r="X270"/>
  <c r="X272"/>
  <c r="X274"/>
  <c r="X276"/>
  <c r="X278"/>
  <c r="X280"/>
  <c r="X282"/>
  <c r="X284"/>
  <c r="X286"/>
  <c r="X288"/>
  <c r="X290"/>
  <c r="X296"/>
  <c r="X297"/>
  <c r="X300"/>
  <c r="X302"/>
  <c r="X304"/>
  <c r="X306"/>
  <c r="X308"/>
  <c r="X310"/>
  <c r="X312"/>
  <c r="X314"/>
  <c r="X316"/>
  <c r="X318"/>
  <c r="X320"/>
  <c r="X321"/>
  <c r="X322"/>
  <c r="X323"/>
  <c r="X325"/>
  <c r="X327"/>
  <c r="X330"/>
  <c r="X331"/>
  <c r="X333"/>
  <c r="X334"/>
  <c r="X335"/>
  <c r="X336"/>
  <c r="X340"/>
  <c r="X341"/>
  <c r="X342"/>
  <c r="X343"/>
  <c r="X345"/>
  <c r="X347"/>
  <c r="X349"/>
  <c r="X351"/>
  <c r="X353"/>
  <c r="X355"/>
  <c r="X357"/>
  <c r="X359"/>
  <c r="X361"/>
  <c r="X363"/>
  <c r="X365"/>
  <c r="X366"/>
  <c r="X368"/>
  <c r="X370"/>
  <c r="X372"/>
  <c r="X374"/>
  <c r="X375"/>
  <c r="X376"/>
  <c r="X378"/>
  <c r="X380"/>
  <c r="X382"/>
  <c r="X383"/>
  <c r="X385"/>
  <c r="X387"/>
  <c r="X389"/>
  <c r="X391"/>
  <c r="X393"/>
  <c r="X395"/>
  <c r="X398"/>
  <c r="X400"/>
  <c r="X402"/>
  <c r="X410"/>
  <c r="X412"/>
  <c r="X414"/>
  <c r="X415"/>
  <c r="X416"/>
  <c r="X417"/>
  <c r="X418"/>
  <c r="X421"/>
  <c r="X423"/>
  <c r="X425"/>
  <c r="X426"/>
  <c r="X427"/>
  <c r="X428"/>
  <c r="X429"/>
  <c r="X430"/>
  <c r="X432"/>
  <c r="X434"/>
  <c r="X436"/>
  <c r="X438"/>
  <c r="X441"/>
  <c r="X442"/>
  <c r="X443"/>
  <c r="X445"/>
  <c r="X446"/>
  <c r="X448"/>
  <c r="X451"/>
  <c r="X452"/>
  <c r="X453"/>
  <c r="X454"/>
  <c r="X455"/>
  <c r="X457"/>
  <c r="X459"/>
  <c r="X461"/>
  <c r="X462"/>
  <c r="X464"/>
  <c r="X466"/>
  <c r="X468"/>
  <c r="X470"/>
  <c r="X472"/>
  <c r="X474"/>
  <c r="X476"/>
  <c r="X478"/>
  <c r="X480"/>
  <c r="X482"/>
  <c r="X484"/>
  <c r="X490"/>
  <c r="X494"/>
  <c r="X496"/>
  <c r="X498"/>
  <c r="X500"/>
  <c r="X502"/>
  <c r="X504"/>
  <c r="X506"/>
  <c r="X510"/>
  <c r="X512"/>
  <c r="X514"/>
  <c r="X516"/>
  <c r="X518"/>
  <c r="X520"/>
  <c r="X522"/>
  <c r="X524"/>
  <c r="X526"/>
  <c r="X528"/>
  <c r="X530"/>
  <c r="X532"/>
  <c r="X519"/>
  <c r="X523"/>
  <c r="X527"/>
  <c r="X531"/>
  <c r="X534"/>
  <c r="X536"/>
  <c r="X538"/>
  <c r="X540"/>
  <c r="X542"/>
  <c r="X544"/>
  <c r="X546"/>
  <c r="X548"/>
  <c r="X550"/>
  <c r="X552"/>
  <c r="X554"/>
  <c r="X556"/>
  <c r="X558"/>
  <c r="X568"/>
  <c r="X579"/>
  <c r="X581"/>
  <c r="X583"/>
  <c r="X585"/>
  <c r="X587"/>
  <c r="X589"/>
  <c r="X591"/>
  <c r="X593"/>
  <c r="X595"/>
  <c r="X597"/>
  <c r="X599"/>
  <c r="X601"/>
  <c r="X603"/>
  <c r="X606"/>
  <c r="X608"/>
  <c r="X610"/>
  <c r="X611"/>
  <c r="X612"/>
  <c r="X613"/>
  <c r="X614"/>
  <c r="X615"/>
  <c r="X616"/>
  <c r="X617"/>
  <c r="X618"/>
  <c r="X620"/>
  <c r="X622"/>
  <c r="X624"/>
  <c r="X626"/>
  <c r="X628"/>
  <c r="X630"/>
  <c r="X632"/>
  <c r="X634"/>
  <c r="X636"/>
  <c r="X639"/>
  <c r="X641"/>
  <c r="X643"/>
  <c r="X645"/>
  <c r="X647"/>
  <c r="X649"/>
  <c r="X651"/>
  <c r="X653"/>
  <c r="X655"/>
  <c r="X661"/>
  <c r="X662"/>
  <c r="X663"/>
  <c r="X664"/>
  <c r="X666"/>
  <c r="X668"/>
  <c r="X670"/>
  <c r="X672"/>
  <c r="X673"/>
  <c r="X674"/>
  <c r="X675"/>
  <c r="X676"/>
  <c r="X677"/>
  <c r="X679"/>
  <c r="X681"/>
  <c r="X683"/>
  <c r="X685"/>
  <c r="X687"/>
  <c r="X689"/>
  <c r="X691"/>
  <c r="X693"/>
  <c r="X695"/>
  <c r="X697"/>
  <c r="X699"/>
  <c r="X701"/>
  <c r="X703"/>
  <c r="X705"/>
  <c r="X707"/>
  <c r="X709"/>
  <c r="X711"/>
  <c r="X713"/>
  <c r="X715"/>
  <c r="X717"/>
  <c r="X719"/>
  <c r="X721"/>
  <c r="X723"/>
  <c r="X726"/>
  <c r="X728"/>
  <c r="X730"/>
  <c r="X731"/>
  <c r="X732"/>
  <c r="X733"/>
  <c r="X734"/>
  <c r="X735"/>
  <c r="X736"/>
  <c r="X737"/>
  <c r="X738"/>
  <c r="X739"/>
  <c r="X740"/>
  <c r="X741"/>
  <c r="X742"/>
  <c r="X743"/>
  <c r="X744"/>
  <c r="X745"/>
  <c r="X746"/>
  <c r="X747"/>
  <c r="X748"/>
  <c r="X749"/>
  <c r="X750"/>
  <c r="X751"/>
  <c r="X752"/>
  <c r="X753"/>
  <c r="X754"/>
  <c r="X755"/>
  <c r="X756"/>
  <c r="X757"/>
  <c r="X758"/>
  <c r="X759"/>
  <c r="X760"/>
  <c r="X761"/>
  <c r="X762"/>
  <c r="X763"/>
  <c r="X764"/>
  <c r="X765"/>
  <c r="X766"/>
  <c r="X767"/>
  <c r="X768"/>
  <c r="X769"/>
  <c r="X770"/>
  <c r="X771"/>
  <c r="X772"/>
  <c r="X773"/>
  <c r="X774"/>
  <c r="X775"/>
  <c r="X776"/>
  <c r="X777"/>
  <c r="X778"/>
  <c r="X779"/>
  <c r="X780"/>
  <c r="X781"/>
  <c r="X782"/>
  <c r="X783"/>
  <c r="X784"/>
  <c r="X785"/>
  <c r="X786"/>
  <c r="X787"/>
  <c r="X788"/>
  <c r="X789"/>
  <c r="X790"/>
  <c r="X791"/>
  <c r="X792"/>
  <c r="X793"/>
  <c r="X794"/>
  <c r="X795"/>
  <c r="X796"/>
  <c r="X797"/>
  <c r="X798"/>
  <c r="X799"/>
  <c r="X800"/>
  <c r="X801"/>
  <c r="X802"/>
  <c r="X804"/>
  <c r="X820"/>
  <c r="X822"/>
  <c r="X823"/>
  <c r="X834"/>
  <c r="X838"/>
  <c r="X855"/>
  <c r="X868"/>
  <c r="X870"/>
  <c r="X872"/>
  <c r="X874"/>
  <c r="X876"/>
  <c r="X878"/>
  <c r="X880"/>
  <c r="X882"/>
  <c r="X884"/>
  <c r="X886"/>
  <c r="X887"/>
  <c r="X889"/>
  <c r="X891"/>
  <c r="X897"/>
  <c r="X899"/>
  <c r="X901"/>
  <c r="X903"/>
  <c r="X905"/>
  <c r="X907"/>
  <c r="X909"/>
  <c r="X911"/>
  <c r="X913"/>
  <c r="X915"/>
  <c r="X917"/>
  <c r="X829"/>
  <c r="X920"/>
  <c r="X922"/>
  <c r="X929"/>
  <c r="X933"/>
  <c r="X935"/>
  <c r="X937"/>
  <c r="X940"/>
  <c r="X942"/>
  <c r="X952"/>
  <c r="X956"/>
  <c r="X969"/>
  <c r="X974"/>
  <c r="X985"/>
  <c r="X992"/>
  <c r="X996"/>
  <c r="X1004"/>
  <c r="X1006"/>
  <c r="X1009"/>
  <c r="X1149"/>
  <c r="X1151"/>
  <c r="X1153"/>
  <c r="X1155"/>
  <c r="X1157"/>
  <c r="X1159"/>
  <c r="X1161"/>
  <c r="X1163"/>
  <c r="X1165"/>
  <c r="X517"/>
  <c r="X521"/>
  <c r="X525"/>
  <c r="X529"/>
  <c r="X533"/>
  <c r="X535"/>
  <c r="X537"/>
  <c r="X539"/>
  <c r="X541"/>
  <c r="X543"/>
  <c r="X545"/>
  <c r="X547"/>
  <c r="X549"/>
  <c r="X551"/>
  <c r="X553"/>
  <c r="X555"/>
  <c r="X557"/>
  <c r="X559"/>
  <c r="X566"/>
  <c r="X567"/>
  <c r="X569"/>
  <c r="X570"/>
  <c r="X571"/>
  <c r="X572"/>
  <c r="X573"/>
  <c r="X574"/>
  <c r="X575"/>
  <c r="X576"/>
  <c r="X577"/>
  <c r="X578"/>
  <c r="X580"/>
  <c r="X582"/>
  <c r="X584"/>
  <c r="X586"/>
  <c r="X588"/>
  <c r="X590"/>
  <c r="X592"/>
  <c r="X594"/>
  <c r="X596"/>
  <c r="X598"/>
  <c r="X600"/>
  <c r="X602"/>
  <c r="X604"/>
  <c r="X605"/>
  <c r="X607"/>
  <c r="X609"/>
  <c r="X619"/>
  <c r="X621"/>
  <c r="X623"/>
  <c r="X625"/>
  <c r="X627"/>
  <c r="X629"/>
  <c r="X631"/>
  <c r="X633"/>
  <c r="X635"/>
  <c r="X637"/>
  <c r="X638"/>
  <c r="X640"/>
  <c r="X642"/>
  <c r="X644"/>
  <c r="X646"/>
  <c r="X648"/>
  <c r="X650"/>
  <c r="X652"/>
  <c r="X654"/>
  <c r="X656"/>
  <c r="X657"/>
  <c r="X658"/>
  <c r="X659"/>
  <c r="X665"/>
  <c r="X667"/>
  <c r="X669"/>
  <c r="X671"/>
  <c r="X678"/>
  <c r="X680"/>
  <c r="X682"/>
  <c r="X684"/>
  <c r="X686"/>
  <c r="X688"/>
  <c r="X690"/>
  <c r="X692"/>
  <c r="X694"/>
  <c r="X696"/>
  <c r="X698"/>
  <c r="X700"/>
  <c r="X702"/>
  <c r="X704"/>
  <c r="X706"/>
  <c r="X708"/>
  <c r="X710"/>
  <c r="X712"/>
  <c r="X714"/>
  <c r="X716"/>
  <c r="X718"/>
  <c r="X720"/>
  <c r="X722"/>
  <c r="X725"/>
  <c r="X727"/>
  <c r="X729"/>
  <c r="X803"/>
  <c r="X805"/>
  <c r="X816"/>
  <c r="X821"/>
  <c r="X852"/>
  <c r="X854"/>
  <c r="X856"/>
  <c r="X869"/>
  <c r="X871"/>
  <c r="X873"/>
  <c r="X875"/>
  <c r="X877"/>
  <c r="X879"/>
  <c r="X881"/>
  <c r="X883"/>
  <c r="X885"/>
  <c r="X818"/>
  <c r="X888"/>
  <c r="X890"/>
  <c r="X896"/>
  <c r="X898"/>
  <c r="X900"/>
  <c r="X902"/>
  <c r="X904"/>
  <c r="X906"/>
  <c r="X908"/>
  <c r="X910"/>
  <c r="X912"/>
  <c r="X914"/>
  <c r="X916"/>
  <c r="X918"/>
  <c r="X919"/>
  <c r="X921"/>
  <c r="X923"/>
  <c r="X936"/>
  <c r="X939"/>
  <c r="X941"/>
  <c r="X951"/>
  <c r="X955"/>
  <c r="X968"/>
  <c r="X970"/>
  <c r="X975"/>
  <c r="X993"/>
  <c r="X1003"/>
  <c r="X1005"/>
  <c r="X1008"/>
  <c r="X1148"/>
  <c r="X1150"/>
  <c r="X1152"/>
  <c r="X1154"/>
  <c r="X1156"/>
  <c r="X1158"/>
  <c r="X1160"/>
  <c r="X1162"/>
  <c r="X1164"/>
  <c r="X1166"/>
  <c r="A21"/>
  <c r="Q21"/>
  <c r="R21"/>
  <c r="S21"/>
  <c r="L71" i="60"/>
  <c r="L70"/>
  <c r="L69"/>
  <c r="L68"/>
  <c r="D72" i="15"/>
  <c r="D75" s="1"/>
  <c r="C72"/>
  <c r="C75" s="1"/>
  <c r="B21" i="14"/>
  <c r="D21"/>
  <c r="G21"/>
  <c r="A22"/>
  <c r="C22"/>
  <c r="E22"/>
  <c r="H22"/>
  <c r="B23"/>
  <c r="D23"/>
  <c r="G23"/>
  <c r="A24"/>
  <c r="C24"/>
  <c r="E24"/>
  <c r="H24"/>
  <c r="B25"/>
  <c r="D25"/>
  <c r="G25"/>
  <c r="A26"/>
  <c r="C26"/>
  <c r="E26"/>
  <c r="H26"/>
  <c r="A27"/>
  <c r="C27"/>
  <c r="E27"/>
  <c r="H27"/>
  <c r="A28"/>
  <c r="C28"/>
  <c r="E28"/>
  <c r="H28"/>
  <c r="A29"/>
  <c r="C29"/>
  <c r="E29"/>
  <c r="H29"/>
  <c r="B30"/>
  <c r="D30"/>
  <c r="G30"/>
  <c r="B31"/>
  <c r="D31"/>
  <c r="G31"/>
  <c r="B32"/>
  <c r="D32"/>
  <c r="G32"/>
  <c r="A33"/>
  <c r="C33"/>
  <c r="E33"/>
  <c r="H33"/>
  <c r="A21"/>
  <c r="C21"/>
  <c r="E21"/>
  <c r="H21"/>
  <c r="B22"/>
  <c r="D22"/>
  <c r="G22"/>
  <c r="A23"/>
  <c r="C23"/>
  <c r="E23"/>
  <c r="H23"/>
  <c r="B24"/>
  <c r="D24"/>
  <c r="G24"/>
  <c r="A25"/>
  <c r="C25"/>
  <c r="E25"/>
  <c r="H25"/>
  <c r="B26"/>
  <c r="D26"/>
  <c r="G26"/>
  <c r="B27"/>
  <c r="D27"/>
  <c r="G27"/>
  <c r="B28"/>
  <c r="D28"/>
  <c r="G28"/>
  <c r="B29"/>
  <c r="D29"/>
  <c r="G29"/>
  <c r="A30"/>
  <c r="C30"/>
  <c r="E30"/>
  <c r="H30"/>
  <c r="A31"/>
  <c r="C31"/>
  <c r="E31"/>
  <c r="H31"/>
  <c r="A32"/>
  <c r="C32"/>
  <c r="E32"/>
  <c r="H32"/>
  <c r="B33"/>
  <c r="D33"/>
  <c r="G33"/>
  <c r="A14" i="69"/>
  <c r="H14"/>
  <c r="A16"/>
  <c r="D17"/>
  <c r="H18"/>
  <c r="A20"/>
  <c r="D21"/>
  <c r="H22"/>
  <c r="A24"/>
  <c r="D25"/>
  <c r="H26"/>
  <c r="A28"/>
  <c r="D29"/>
  <c r="H30"/>
  <c r="A32"/>
  <c r="D33"/>
  <c r="H34"/>
  <c r="A36"/>
  <c r="D37"/>
  <c r="H38"/>
  <c r="A40"/>
  <c r="I14"/>
  <c r="B16"/>
  <c r="G17"/>
  <c r="I18"/>
  <c r="B20"/>
  <c r="G21"/>
  <c r="I22"/>
  <c r="B24"/>
  <c r="G25"/>
  <c r="I26"/>
  <c r="B28"/>
  <c r="G29"/>
  <c r="I30"/>
  <c r="B32"/>
  <c r="G33"/>
  <c r="I34"/>
  <c r="B36"/>
  <c r="G37"/>
  <c r="I38"/>
  <c r="B40"/>
  <c r="H40"/>
  <c r="A15"/>
  <c r="D16"/>
  <c r="H17"/>
  <c r="A19"/>
  <c r="D20"/>
  <c r="H21"/>
  <c r="A23"/>
  <c r="D24"/>
  <c r="H25"/>
  <c r="A27"/>
  <c r="D28"/>
  <c r="H29"/>
  <c r="A31"/>
  <c r="D32"/>
  <c r="H33"/>
  <c r="A35"/>
  <c r="D36"/>
  <c r="H37"/>
  <c r="A39"/>
  <c r="D40"/>
  <c r="B15"/>
  <c r="G16"/>
  <c r="I17"/>
  <c r="B19"/>
  <c r="G20"/>
  <c r="I21"/>
  <c r="B23"/>
  <c r="G24"/>
  <c r="I25"/>
  <c r="B27"/>
  <c r="G28"/>
  <c r="I29"/>
  <c r="B31"/>
  <c r="G32"/>
  <c r="I33"/>
  <c r="B35"/>
  <c r="G36"/>
  <c r="I37"/>
  <c r="B39"/>
  <c r="G40"/>
  <c r="D15"/>
  <c r="H16"/>
  <c r="A18"/>
  <c r="D19"/>
  <c r="H20"/>
  <c r="A22"/>
  <c r="D23"/>
  <c r="H24"/>
  <c r="A26"/>
  <c r="D27"/>
  <c r="H28"/>
  <c r="A30"/>
  <c r="D31"/>
  <c r="H32"/>
  <c r="A34"/>
  <c r="D35"/>
  <c r="H36"/>
  <c r="A38"/>
  <c r="D39"/>
  <c r="B14"/>
  <c r="G15"/>
  <c r="I16"/>
  <c r="B18"/>
  <c r="G19"/>
  <c r="I20"/>
  <c r="B22"/>
  <c r="G23"/>
  <c r="I24"/>
  <c r="B26"/>
  <c r="G27"/>
  <c r="I28"/>
  <c r="B30"/>
  <c r="G31"/>
  <c r="I32"/>
  <c r="B34"/>
  <c r="G35"/>
  <c r="I36"/>
  <c r="B38"/>
  <c r="G39"/>
  <c r="I40"/>
  <c r="D14"/>
  <c r="H15"/>
  <c r="A17"/>
  <c r="D18"/>
  <c r="H19"/>
  <c r="A21"/>
  <c r="D22"/>
  <c r="H23"/>
  <c r="A25"/>
  <c r="D26"/>
  <c r="H27"/>
  <c r="A29"/>
  <c r="D30"/>
  <c r="H31"/>
  <c r="A33"/>
  <c r="D34"/>
  <c r="H35"/>
  <c r="A37"/>
  <c r="D38"/>
  <c r="H39"/>
  <c r="G14"/>
  <c r="I15"/>
  <c r="B17"/>
  <c r="G18"/>
  <c r="I19"/>
  <c r="B21"/>
  <c r="G22"/>
  <c r="I23"/>
  <c r="B25"/>
  <c r="G26"/>
  <c r="I27"/>
  <c r="B29"/>
  <c r="G30"/>
  <c r="I31"/>
  <c r="B33"/>
  <c r="G34"/>
  <c r="I35"/>
  <c r="B37"/>
  <c r="G38"/>
  <c r="I39"/>
  <c r="F36" i="56"/>
  <c r="F29"/>
  <c r="A11"/>
  <c r="F30"/>
  <c r="G14" i="57"/>
  <c r="G16"/>
  <c r="A18" i="14"/>
  <c r="A34"/>
  <c r="A38"/>
  <c r="A17"/>
  <c r="A37"/>
  <c r="A16"/>
  <c r="A20"/>
  <c r="A36"/>
  <c r="A15"/>
  <c r="A19"/>
  <c r="A35"/>
  <c r="A14"/>
  <c r="G2" i="56"/>
  <c r="A10"/>
  <c r="H186" i="60"/>
  <c r="AA14" i="34"/>
  <c r="AA17"/>
  <c r="AA15"/>
  <c r="AA18"/>
  <c r="AA12"/>
  <c r="AA19"/>
  <c r="AA13"/>
  <c r="AA16"/>
  <c r="F15" i="56"/>
  <c r="H30"/>
  <c r="V274" i="60"/>
  <c r="I270" s="1"/>
  <c r="V121"/>
  <c r="I112" s="1"/>
  <c r="V77"/>
  <c r="I72" s="1"/>
  <c r="L245"/>
  <c r="V256"/>
  <c r="V196"/>
  <c r="I191" s="1"/>
  <c r="V170"/>
  <c r="I163" s="1"/>
  <c r="V249"/>
  <c r="I245" s="1"/>
  <c r="V95"/>
  <c r="I90" s="1"/>
  <c r="V223"/>
  <c r="I219" s="1"/>
  <c r="V282"/>
  <c r="L272" s="1"/>
  <c r="V146"/>
  <c r="I139" s="1"/>
  <c r="L48"/>
  <c r="L47"/>
  <c r="B93" i="34"/>
  <c r="B109"/>
  <c r="B96"/>
  <c r="B100"/>
  <c r="B104"/>
  <c r="B108"/>
  <c r="B117"/>
  <c r="B120"/>
  <c r="B166"/>
  <c r="B168"/>
  <c r="B170"/>
  <c r="B80"/>
  <c r="B82"/>
  <c r="B84"/>
  <c r="B86"/>
  <c r="B330"/>
  <c r="B113"/>
  <c r="B321"/>
  <c r="B97"/>
  <c r="B105"/>
  <c r="B111"/>
  <c r="B115"/>
  <c r="B94"/>
  <c r="B98"/>
  <c r="B102"/>
  <c r="B106"/>
  <c r="B116"/>
  <c r="B118"/>
  <c r="B121"/>
  <c r="B167"/>
  <c r="B169"/>
  <c r="B171"/>
  <c r="B81"/>
  <c r="B83"/>
  <c r="B85"/>
  <c r="B101"/>
  <c r="B320"/>
  <c r="B322"/>
  <c r="B331"/>
  <c r="B95"/>
  <c r="B99"/>
  <c r="B103"/>
  <c r="B107"/>
  <c r="B110"/>
  <c r="B112"/>
  <c r="B114"/>
  <c r="F13" i="57"/>
  <c r="V56" i="60"/>
  <c r="I52" s="1"/>
  <c r="S14" i="34"/>
  <c r="Q14"/>
  <c r="R14"/>
  <c r="S15"/>
  <c r="Q15"/>
  <c r="R15"/>
  <c r="S12"/>
  <c r="Q12"/>
  <c r="R12"/>
  <c r="S13"/>
  <c r="Q13"/>
  <c r="R13"/>
  <c r="X12"/>
  <c r="X19"/>
  <c r="X13"/>
  <c r="X16"/>
  <c r="X14"/>
  <c r="X17"/>
  <c r="X15"/>
  <c r="X18"/>
  <c r="M14"/>
  <c r="M12"/>
  <c r="M15"/>
  <c r="M13"/>
  <c r="A12" i="55"/>
  <c r="A13"/>
  <c r="A48"/>
  <c r="B49"/>
  <c r="B40"/>
  <c r="A40" s="1"/>
  <c r="A47"/>
  <c r="D52" i="60"/>
  <c r="D270"/>
  <c r="G263"/>
  <c r="G135"/>
  <c r="D139"/>
  <c r="G212"/>
  <c r="D219"/>
  <c r="G87"/>
  <c r="D90"/>
  <c r="G185"/>
  <c r="D191"/>
  <c r="G238"/>
  <c r="G245" s="1"/>
  <c r="D245"/>
  <c r="D72"/>
  <c r="G107"/>
  <c r="D112"/>
  <c r="G158"/>
  <c r="D163"/>
  <c r="H29"/>
  <c r="H30"/>
  <c r="K29"/>
  <c r="J29"/>
  <c r="K30"/>
  <c r="J30"/>
  <c r="I29"/>
  <c r="I30"/>
  <c r="K8"/>
  <c r="H7"/>
  <c r="K9"/>
  <c r="I8"/>
  <c r="K7"/>
  <c r="J9"/>
  <c r="H8"/>
  <c r="J7"/>
  <c r="I9"/>
  <c r="I7"/>
  <c r="H9"/>
  <c r="J8"/>
  <c r="E17" i="57"/>
  <c r="E21"/>
  <c r="E25"/>
  <c r="E29"/>
  <c r="E18"/>
  <c r="E22"/>
  <c r="E26"/>
  <c r="E30"/>
  <c r="E19"/>
  <c r="E23"/>
  <c r="E27"/>
  <c r="E14"/>
  <c r="E20"/>
  <c r="E24"/>
  <c r="E28"/>
  <c r="E15"/>
  <c r="E16"/>
  <c r="I60" i="55"/>
  <c r="S10" i="34"/>
  <c r="R10"/>
  <c r="Q10"/>
  <c r="S11"/>
  <c r="R11"/>
  <c r="Q11"/>
  <c r="X11"/>
  <c r="X10"/>
  <c r="M9" i="62"/>
  <c r="I50" i="63"/>
  <c r="K54" i="55"/>
  <c r="K16"/>
  <c r="K28"/>
  <c r="K49"/>
  <c r="K26"/>
  <c r="K32"/>
  <c r="K34"/>
  <c r="K14"/>
  <c r="K15"/>
  <c r="K18"/>
  <c r="K19"/>
  <c r="K25"/>
  <c r="K29"/>
  <c r="K30"/>
  <c r="K53"/>
  <c r="K40"/>
  <c r="I45"/>
  <c r="K41"/>
  <c r="K50"/>
  <c r="K51"/>
  <c r="H38" i="14"/>
  <c r="C38"/>
  <c r="E37"/>
  <c r="H36"/>
  <c r="C36"/>
  <c r="E35"/>
  <c r="H34"/>
  <c r="C34"/>
  <c r="H20"/>
  <c r="C20"/>
  <c r="E19"/>
  <c r="H18"/>
  <c r="C18"/>
  <c r="E17"/>
  <c r="H16"/>
  <c r="C16"/>
  <c r="E15"/>
  <c r="H14"/>
  <c r="C14"/>
  <c r="G38"/>
  <c r="H37"/>
  <c r="B37"/>
  <c r="B36"/>
  <c r="C35"/>
  <c r="D34"/>
  <c r="B20"/>
  <c r="C19"/>
  <c r="D18"/>
  <c r="D17"/>
  <c r="E16"/>
  <c r="G15"/>
  <c r="G14"/>
  <c r="I19" i="52"/>
  <c r="D19"/>
  <c r="J18"/>
  <c r="E18"/>
  <c r="A18"/>
  <c r="G17"/>
  <c r="B17"/>
  <c r="H19"/>
  <c r="C19"/>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9"/>
  <c r="M39" s="1"/>
  <c r="B40"/>
  <c r="K40"/>
  <c r="H41"/>
  <c r="E42"/>
  <c r="D43"/>
  <c r="M43" s="1"/>
  <c r="B44"/>
  <c r="I44"/>
  <c r="H45"/>
  <c r="E46"/>
  <c r="C47"/>
  <c r="A47" s="1"/>
  <c r="B48"/>
  <c r="I48"/>
  <c r="F49"/>
  <c r="E50"/>
  <c r="D14" i="14"/>
  <c r="D15"/>
  <c r="G16"/>
  <c r="H17"/>
  <c r="B19"/>
  <c r="D20"/>
  <c r="E34"/>
  <c r="G35"/>
  <c r="G36"/>
  <c r="B38"/>
  <c r="K6" i="62"/>
  <c r="K11"/>
  <c r="D17" i="63"/>
  <c r="I17"/>
  <c r="C18"/>
  <c r="A18" s="1"/>
  <c r="H18"/>
  <c r="B19"/>
  <c r="F19"/>
  <c r="K19"/>
  <c r="E20"/>
  <c r="J20"/>
  <c r="D21"/>
  <c r="J21"/>
  <c r="F22"/>
  <c r="B23"/>
  <c r="H23"/>
  <c r="D24"/>
  <c r="J24"/>
  <c r="E25"/>
  <c r="B26"/>
  <c r="H26"/>
  <c r="C27"/>
  <c r="A27" s="1"/>
  <c r="J27"/>
  <c r="E28"/>
  <c r="K28"/>
  <c r="H29"/>
  <c r="C30"/>
  <c r="A30" s="1"/>
  <c r="I30"/>
  <c r="E31"/>
  <c r="K31"/>
  <c r="F32"/>
  <c r="C33"/>
  <c r="A33" s="1"/>
  <c r="K33"/>
  <c r="I34"/>
  <c r="E39"/>
  <c r="D40"/>
  <c r="L40" s="1"/>
  <c r="B41"/>
  <c r="J41"/>
  <c r="I42"/>
  <c r="E43"/>
  <c r="C44"/>
  <c r="A44" s="1"/>
  <c r="B45"/>
  <c r="J45"/>
  <c r="F46"/>
  <c r="E47"/>
  <c r="C48"/>
  <c r="A48" s="1"/>
  <c r="K48"/>
  <c r="J49"/>
  <c r="F50"/>
  <c r="E14" i="14"/>
  <c r="H15"/>
  <c r="B17"/>
  <c r="B18"/>
  <c r="D19"/>
  <c r="E20"/>
  <c r="G34"/>
  <c r="H35"/>
  <c r="C37"/>
  <c r="D38"/>
  <c r="E17" i="63"/>
  <c r="J17"/>
  <c r="D18"/>
  <c r="I18"/>
  <c r="C19"/>
  <c r="A19" s="1"/>
  <c r="H19"/>
  <c r="B20"/>
  <c r="F20"/>
  <c r="K20"/>
  <c r="E21"/>
  <c r="B22"/>
  <c r="H22"/>
  <c r="C23"/>
  <c r="A23" s="1"/>
  <c r="J23"/>
  <c r="E24"/>
  <c r="K24"/>
  <c r="H25"/>
  <c r="C26"/>
  <c r="A26" s="1"/>
  <c r="I26"/>
  <c r="E27"/>
  <c r="K27"/>
  <c r="F28"/>
  <c r="C29"/>
  <c r="A29" s="1"/>
  <c r="I29"/>
  <c r="D30"/>
  <c r="K30"/>
  <c r="F31"/>
  <c r="B32"/>
  <c r="I32"/>
  <c r="E33"/>
  <c r="B34"/>
  <c r="K34"/>
  <c r="I39"/>
  <c r="F40"/>
  <c r="C41"/>
  <c r="A41" s="1"/>
  <c r="B42"/>
  <c r="J42"/>
  <c r="H43"/>
  <c r="F44"/>
  <c r="C45"/>
  <c r="A45" s="1"/>
  <c r="K45"/>
  <c r="J46"/>
  <c r="H47"/>
  <c r="D48"/>
  <c r="L48" s="1"/>
  <c r="C49"/>
  <c r="A49" s="1"/>
  <c r="K49"/>
  <c r="B15" i="14"/>
  <c r="B16"/>
  <c r="C17"/>
  <c r="E18"/>
  <c r="G19"/>
  <c r="G20"/>
  <c r="B35"/>
  <c r="D36"/>
  <c r="D37"/>
  <c r="E38"/>
  <c r="H50" i="63"/>
  <c r="C50"/>
  <c r="A50" s="1"/>
  <c r="I49"/>
  <c r="D49"/>
  <c r="M49" s="1"/>
  <c r="J48"/>
  <c r="E48"/>
  <c r="K47"/>
  <c r="F47"/>
  <c r="B47"/>
  <c r="H46"/>
  <c r="C46"/>
  <c r="A46" s="1"/>
  <c r="I45"/>
  <c r="D45"/>
  <c r="M45" s="1"/>
  <c r="J44"/>
  <c r="E44"/>
  <c r="K43"/>
  <c r="F43"/>
  <c r="B43"/>
  <c r="H42"/>
  <c r="C42"/>
  <c r="A42" s="1"/>
  <c r="I41"/>
  <c r="D41"/>
  <c r="M41" s="1"/>
  <c r="J40"/>
  <c r="E40"/>
  <c r="K39"/>
  <c r="F39"/>
  <c r="B39"/>
  <c r="H34"/>
  <c r="C34"/>
  <c r="A34" s="1"/>
  <c r="I33"/>
  <c r="D33"/>
  <c r="J50"/>
  <c r="D50"/>
  <c r="L50" s="1"/>
  <c r="H49"/>
  <c r="B49"/>
  <c r="F48"/>
  <c r="J47"/>
  <c r="D47"/>
  <c r="M47" s="1"/>
  <c r="I46"/>
  <c r="B46"/>
  <c r="F45"/>
  <c r="K44"/>
  <c r="D44"/>
  <c r="L44" s="1"/>
  <c r="I43"/>
  <c r="C43"/>
  <c r="A43" s="1"/>
  <c r="F42"/>
  <c r="K41"/>
  <c r="E41"/>
  <c r="I40"/>
  <c r="C40"/>
  <c r="A40" s="1"/>
  <c r="H39"/>
  <c r="J34"/>
  <c r="D34"/>
  <c r="H33"/>
  <c r="B33"/>
  <c r="H32"/>
  <c r="C32"/>
  <c r="A32" s="1"/>
  <c r="I31"/>
  <c r="D31"/>
  <c r="J30"/>
  <c r="E30"/>
  <c r="K29"/>
  <c r="F29"/>
  <c r="B29"/>
  <c r="H28"/>
  <c r="C28"/>
  <c r="A28" s="1"/>
  <c r="I27"/>
  <c r="D27"/>
  <c r="J26"/>
  <c r="E26"/>
  <c r="K25"/>
  <c r="F25"/>
  <c r="B25"/>
  <c r="H24"/>
  <c r="C24"/>
  <c r="A24" s="1"/>
  <c r="I23"/>
  <c r="D23"/>
  <c r="J22"/>
  <c r="E22"/>
  <c r="K21"/>
  <c r="F21"/>
  <c r="M5" i="62"/>
  <c r="B17" i="63"/>
  <c r="F17"/>
  <c r="K17"/>
  <c r="E18"/>
  <c r="J18"/>
  <c r="D19"/>
  <c r="I19"/>
  <c r="C20"/>
  <c r="A20" s="1"/>
  <c r="H20"/>
  <c r="B21"/>
  <c r="H21"/>
  <c r="C22"/>
  <c r="A22" s="1"/>
  <c r="I22"/>
  <c r="E23"/>
  <c r="K23"/>
  <c r="F24"/>
  <c r="C25"/>
  <c r="A25" s="1"/>
  <c r="I25"/>
  <c r="D26"/>
  <c r="K26"/>
  <c r="F27"/>
  <c r="B28"/>
  <c r="I28"/>
  <c r="D29"/>
  <c r="J29"/>
  <c r="F30"/>
  <c r="B31"/>
  <c r="H31"/>
  <c r="D32"/>
  <c r="J32"/>
  <c r="F33"/>
  <c r="E34"/>
  <c r="C39"/>
  <c r="A39" s="1"/>
  <c r="J39"/>
  <c r="H40"/>
  <c r="F41"/>
  <c r="D42"/>
  <c r="L42" s="1"/>
  <c r="K42"/>
  <c r="J43"/>
  <c r="H44"/>
  <c r="E45"/>
  <c r="D46"/>
  <c r="L46" s="1"/>
  <c r="K46"/>
  <c r="I47"/>
  <c r="H48"/>
  <c r="E49"/>
  <c r="B50"/>
  <c r="K50"/>
  <c r="B14" i="14"/>
  <c r="C15"/>
  <c r="D16"/>
  <c r="G17"/>
  <c r="G18"/>
  <c r="H19"/>
  <c r="B34"/>
  <c r="D35"/>
  <c r="E36"/>
  <c r="G37"/>
  <c r="E30" i="58"/>
  <c r="I30" s="1"/>
  <c r="H29"/>
  <c r="C29"/>
  <c r="E28"/>
  <c r="I28" s="1"/>
  <c r="H27"/>
  <c r="C27"/>
  <c r="E26"/>
  <c r="I26" s="1"/>
  <c r="H25"/>
  <c r="C25"/>
  <c r="E24"/>
  <c r="I24" s="1"/>
  <c r="H23"/>
  <c r="C23"/>
  <c r="E22"/>
  <c r="I22" s="1"/>
  <c r="H21"/>
  <c r="C21"/>
  <c r="E20"/>
  <c r="H19"/>
  <c r="C19"/>
  <c r="E18"/>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H18"/>
  <c r="C18"/>
  <c r="E17"/>
  <c r="H16"/>
  <c r="C16"/>
  <c r="E15"/>
  <c r="H14"/>
  <c r="C14"/>
  <c r="G30"/>
  <c r="B30"/>
  <c r="F30" s="1"/>
  <c r="D29"/>
  <c r="G28"/>
  <c r="B28"/>
  <c r="A28" s="1"/>
  <c r="D27"/>
  <c r="G26"/>
  <c r="B26"/>
  <c r="F26" s="1"/>
  <c r="D25"/>
  <c r="G24"/>
  <c r="B24"/>
  <c r="A24" s="1"/>
  <c r="D23"/>
  <c r="G22"/>
  <c r="B22"/>
  <c r="F22" s="1"/>
  <c r="D21"/>
  <c r="G20"/>
  <c r="B20"/>
  <c r="D19"/>
  <c r="G18"/>
  <c r="B18"/>
  <c r="F18" s="1"/>
  <c r="D17"/>
  <c r="G16"/>
  <c r="B16"/>
  <c r="F16" s="1"/>
  <c r="D15"/>
  <c r="G14"/>
  <c r="B14"/>
  <c r="A35" s="1"/>
  <c r="F23" i="56"/>
  <c r="H23" s="1"/>
  <c r="B22"/>
  <c r="D22" s="1"/>
  <c r="G20"/>
  <c r="F19"/>
  <c r="B18"/>
  <c r="D18" s="1"/>
  <c r="A9"/>
  <c r="B23"/>
  <c r="A23" s="1"/>
  <c r="G21"/>
  <c r="F20"/>
  <c r="B19"/>
  <c r="D19" s="1"/>
  <c r="G17"/>
  <c r="G8"/>
  <c r="D6"/>
  <c r="F28" s="1"/>
  <c r="G22"/>
  <c r="F21"/>
  <c r="H21" s="1"/>
  <c r="B20"/>
  <c r="D20" s="1"/>
  <c r="G18"/>
  <c r="F17"/>
  <c r="G7"/>
  <c r="G23"/>
  <c r="F22"/>
  <c r="B21"/>
  <c r="G19"/>
  <c r="F18"/>
  <c r="B17"/>
  <c r="D17" s="1"/>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7" i="55"/>
  <c r="K13"/>
  <c r="K17"/>
  <c r="K27"/>
  <c r="K33"/>
  <c r="K42"/>
  <c r="K43"/>
  <c r="K52"/>
  <c r="K47"/>
  <c r="G60"/>
  <c r="G37"/>
  <c r="K12"/>
  <c r="K31"/>
  <c r="K35"/>
  <c r="K39"/>
  <c r="K48"/>
  <c r="K8" i="62"/>
  <c r="M8"/>
  <c r="K9"/>
  <c r="K5"/>
  <c r="M6"/>
  <c r="M7"/>
  <c r="K10"/>
  <c r="M10"/>
  <c r="K7"/>
  <c r="M11"/>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F12"/>
  <c r="D12"/>
  <c r="G12"/>
  <c r="E12"/>
  <c r="K25" i="52" l="1"/>
  <c r="L25"/>
  <c r="M25"/>
  <c r="N25"/>
  <c r="H27"/>
  <c r="J27"/>
  <c r="I27"/>
  <c r="G27"/>
  <c r="V322" i="34"/>
  <c r="T322"/>
  <c r="U322"/>
  <c r="T321"/>
  <c r="U321"/>
  <c r="V321"/>
  <c r="U320"/>
  <c r="V320"/>
  <c r="T320"/>
  <c r="T330"/>
  <c r="U330"/>
  <c r="V330"/>
  <c r="T331"/>
  <c r="U331"/>
  <c r="V331"/>
  <c r="L37" i="63"/>
  <c r="M37"/>
  <c r="N37"/>
  <c r="O37"/>
  <c r="N38"/>
  <c r="O38"/>
  <c r="L38"/>
  <c r="M38"/>
  <c r="O36"/>
  <c r="N36"/>
  <c r="M36"/>
  <c r="L36"/>
  <c r="A110" i="34"/>
  <c r="R110"/>
  <c r="S110"/>
  <c r="Q110"/>
  <c r="A95"/>
  <c r="Q95"/>
  <c r="R95"/>
  <c r="S95"/>
  <c r="A101"/>
  <c r="Q101"/>
  <c r="R101"/>
  <c r="S101"/>
  <c r="A171"/>
  <c r="S171"/>
  <c r="Q171"/>
  <c r="R171"/>
  <c r="A118"/>
  <c r="R118"/>
  <c r="S118"/>
  <c r="Q118"/>
  <c r="A98"/>
  <c r="R98"/>
  <c r="S98"/>
  <c r="Q98"/>
  <c r="A105"/>
  <c r="Q105"/>
  <c r="R105"/>
  <c r="S105"/>
  <c r="A330"/>
  <c r="S330"/>
  <c r="Q330"/>
  <c r="R330"/>
  <c r="A80"/>
  <c r="S80"/>
  <c r="Q80"/>
  <c r="R80"/>
  <c r="A120"/>
  <c r="R120"/>
  <c r="S120"/>
  <c r="Q120"/>
  <c r="A100"/>
  <c r="R100"/>
  <c r="S100"/>
  <c r="Q100"/>
  <c r="A107"/>
  <c r="Q107"/>
  <c r="R107"/>
  <c r="S107"/>
  <c r="A331"/>
  <c r="Q331"/>
  <c r="S331"/>
  <c r="R331"/>
  <c r="A85"/>
  <c r="Q85"/>
  <c r="R85"/>
  <c r="S85"/>
  <c r="A169"/>
  <c r="S169"/>
  <c r="Q169"/>
  <c r="R169"/>
  <c r="A116"/>
  <c r="R116"/>
  <c r="S116"/>
  <c r="Q116"/>
  <c r="A94"/>
  <c r="S94"/>
  <c r="R94"/>
  <c r="Q94"/>
  <c r="A97"/>
  <c r="R97"/>
  <c r="Q97"/>
  <c r="S97"/>
  <c r="A86"/>
  <c r="S86"/>
  <c r="Q86"/>
  <c r="R86"/>
  <c r="A170"/>
  <c r="Q170"/>
  <c r="R170"/>
  <c r="S170"/>
  <c r="A117"/>
  <c r="Q117"/>
  <c r="R117"/>
  <c r="S117"/>
  <c r="A96"/>
  <c r="Q96"/>
  <c r="R96"/>
  <c r="S96"/>
  <c r="A114"/>
  <c r="R114"/>
  <c r="S114"/>
  <c r="Q114"/>
  <c r="A103"/>
  <c r="Q103"/>
  <c r="R103"/>
  <c r="S103"/>
  <c r="A322"/>
  <c r="S322"/>
  <c r="Q322"/>
  <c r="R322"/>
  <c r="A83"/>
  <c r="Q83"/>
  <c r="R83"/>
  <c r="S83"/>
  <c r="A167"/>
  <c r="S167"/>
  <c r="Q167"/>
  <c r="R167"/>
  <c r="A106"/>
  <c r="R106"/>
  <c r="S106"/>
  <c r="Q106"/>
  <c r="A115"/>
  <c r="Q115"/>
  <c r="R115"/>
  <c r="S115"/>
  <c r="A321"/>
  <c r="Q321"/>
  <c r="R321"/>
  <c r="S321"/>
  <c r="A84"/>
  <c r="S84"/>
  <c r="Q84"/>
  <c r="R84"/>
  <c r="A168"/>
  <c r="Q168"/>
  <c r="R168"/>
  <c r="S168"/>
  <c r="A108"/>
  <c r="R108"/>
  <c r="S108"/>
  <c r="Q108"/>
  <c r="A109"/>
  <c r="Q109"/>
  <c r="R109"/>
  <c r="S109"/>
  <c r="A112"/>
  <c r="R112"/>
  <c r="S112"/>
  <c r="Q112"/>
  <c r="A99"/>
  <c r="Q99"/>
  <c r="R99"/>
  <c r="S99"/>
  <c r="A320"/>
  <c r="S320"/>
  <c r="Q320"/>
  <c r="R320"/>
  <c r="A81"/>
  <c r="Q81"/>
  <c r="R81"/>
  <c r="S81"/>
  <c r="A121"/>
  <c r="Q121"/>
  <c r="R121"/>
  <c r="S121"/>
  <c r="A102"/>
  <c r="R102"/>
  <c r="S102"/>
  <c r="Q102"/>
  <c r="A111"/>
  <c r="Q111"/>
  <c r="R111"/>
  <c r="S111"/>
  <c r="A113"/>
  <c r="Q113"/>
  <c r="R113"/>
  <c r="S113"/>
  <c r="A82"/>
  <c r="S82"/>
  <c r="Q82"/>
  <c r="R82"/>
  <c r="A166"/>
  <c r="Q166"/>
  <c r="R166"/>
  <c r="S166"/>
  <c r="A104"/>
  <c r="R104"/>
  <c r="S104"/>
  <c r="Q104"/>
  <c r="A93"/>
  <c r="Q93"/>
  <c r="R93"/>
  <c r="S93"/>
  <c r="H71" i="60"/>
  <c r="I70"/>
  <c r="H70"/>
  <c r="J70"/>
  <c r="I71"/>
  <c r="J71"/>
  <c r="K71"/>
  <c r="K70"/>
  <c r="L72"/>
  <c r="N29"/>
  <c r="N9"/>
  <c r="J68"/>
  <c r="H69"/>
  <c r="K68"/>
  <c r="I69"/>
  <c r="J69"/>
  <c r="H68"/>
  <c r="K69"/>
  <c r="I68"/>
  <c r="I49"/>
  <c r="K49"/>
  <c r="J49"/>
  <c r="H49"/>
  <c r="J33" i="14"/>
  <c r="I33"/>
  <c r="C33" i="69"/>
  <c r="E33"/>
  <c r="F33"/>
  <c r="J33"/>
  <c r="C25"/>
  <c r="F25"/>
  <c r="E25"/>
  <c r="J25"/>
  <c r="C17"/>
  <c r="F17"/>
  <c r="E17"/>
  <c r="J17"/>
  <c r="E34"/>
  <c r="C34"/>
  <c r="J34"/>
  <c r="F34"/>
  <c r="E26"/>
  <c r="J26"/>
  <c r="C26"/>
  <c r="F26"/>
  <c r="E18"/>
  <c r="J18"/>
  <c r="C18"/>
  <c r="F18"/>
  <c r="C39"/>
  <c r="F39"/>
  <c r="E39"/>
  <c r="J39"/>
  <c r="C31"/>
  <c r="F31"/>
  <c r="E31"/>
  <c r="J31"/>
  <c r="C23"/>
  <c r="E23"/>
  <c r="F23"/>
  <c r="J23"/>
  <c r="C15"/>
  <c r="F15"/>
  <c r="E15"/>
  <c r="J15"/>
  <c r="E40"/>
  <c r="J40"/>
  <c r="C40"/>
  <c r="F40"/>
  <c r="E32"/>
  <c r="C32"/>
  <c r="J32"/>
  <c r="F32"/>
  <c r="E24"/>
  <c r="C24"/>
  <c r="J24"/>
  <c r="F24"/>
  <c r="E16"/>
  <c r="C16"/>
  <c r="J16"/>
  <c r="F16"/>
  <c r="C37"/>
  <c r="E37"/>
  <c r="F37"/>
  <c r="J37"/>
  <c r="C29"/>
  <c r="F29"/>
  <c r="E29"/>
  <c r="J29"/>
  <c r="C21"/>
  <c r="F21"/>
  <c r="E21"/>
  <c r="J21"/>
  <c r="E38"/>
  <c r="J38"/>
  <c r="C38"/>
  <c r="F38"/>
  <c r="E30"/>
  <c r="C30"/>
  <c r="J30"/>
  <c r="F30"/>
  <c r="E22"/>
  <c r="C22"/>
  <c r="J22"/>
  <c r="F22"/>
  <c r="E14"/>
  <c r="C14"/>
  <c r="J14"/>
  <c r="F14"/>
  <c r="C35"/>
  <c r="F35"/>
  <c r="E35"/>
  <c r="J35"/>
  <c r="C27"/>
  <c r="E27"/>
  <c r="F27"/>
  <c r="J27"/>
  <c r="C19"/>
  <c r="F19"/>
  <c r="E19"/>
  <c r="J19"/>
  <c r="E36"/>
  <c r="J36"/>
  <c r="C36"/>
  <c r="F36"/>
  <c r="E28"/>
  <c r="C28"/>
  <c r="J28"/>
  <c r="F28"/>
  <c r="E20"/>
  <c r="C20"/>
  <c r="J20"/>
  <c r="F20"/>
  <c r="L52" i="60"/>
  <c r="H47"/>
  <c r="I47"/>
  <c r="H48"/>
  <c r="I48"/>
  <c r="J47"/>
  <c r="K47"/>
  <c r="J48"/>
  <c r="K48"/>
  <c r="H20" i="56"/>
  <c r="H22"/>
  <c r="O44" i="63"/>
  <c r="N49"/>
  <c r="M50"/>
  <c r="O43"/>
  <c r="E37" i="47"/>
  <c r="G34"/>
  <c r="I14" i="14"/>
  <c r="G47" i="47"/>
  <c r="F20"/>
  <c r="G26"/>
  <c r="C45"/>
  <c r="D29"/>
  <c r="J189" i="60"/>
  <c r="I188"/>
  <c r="K186"/>
  <c r="K185"/>
  <c r="I189"/>
  <c r="K187"/>
  <c r="J186"/>
  <c r="J185"/>
  <c r="K188"/>
  <c r="J187"/>
  <c r="I186"/>
  <c r="N186" s="1"/>
  <c r="P186" s="1"/>
  <c r="I185"/>
  <c r="K189"/>
  <c r="J188"/>
  <c r="I187"/>
  <c r="G90"/>
  <c r="K217"/>
  <c r="J216"/>
  <c r="I215"/>
  <c r="H214"/>
  <c r="H213"/>
  <c r="K212"/>
  <c r="J217"/>
  <c r="I216"/>
  <c r="H215"/>
  <c r="K214"/>
  <c r="K213"/>
  <c r="J212"/>
  <c r="I217"/>
  <c r="H216"/>
  <c r="K215"/>
  <c r="J214"/>
  <c r="J213"/>
  <c r="I212"/>
  <c r="H217"/>
  <c r="K216"/>
  <c r="J215"/>
  <c r="I214"/>
  <c r="I213"/>
  <c r="H212"/>
  <c r="G139"/>
  <c r="B50" i="55"/>
  <c r="A49"/>
  <c r="I243" i="60"/>
  <c r="K242"/>
  <c r="K241"/>
  <c r="J240"/>
  <c r="I239"/>
  <c r="I238"/>
  <c r="H243"/>
  <c r="J242"/>
  <c r="J241"/>
  <c r="I240"/>
  <c r="H239"/>
  <c r="H238"/>
  <c r="K243"/>
  <c r="I242"/>
  <c r="I241"/>
  <c r="H240"/>
  <c r="K239"/>
  <c r="K238"/>
  <c r="J243"/>
  <c r="H242"/>
  <c r="H241"/>
  <c r="K240"/>
  <c r="J239"/>
  <c r="J238"/>
  <c r="N185"/>
  <c r="G191"/>
  <c r="G219"/>
  <c r="J161"/>
  <c r="J160"/>
  <c r="I159"/>
  <c r="I158"/>
  <c r="I161"/>
  <c r="I160"/>
  <c r="H159"/>
  <c r="H158"/>
  <c r="H161"/>
  <c r="H160"/>
  <c r="K159"/>
  <c r="K158"/>
  <c r="K161"/>
  <c r="K160"/>
  <c r="J159"/>
  <c r="J158"/>
  <c r="I110"/>
  <c r="H109"/>
  <c r="K108"/>
  <c r="K107"/>
  <c r="H110"/>
  <c r="K109"/>
  <c r="J108"/>
  <c r="J107"/>
  <c r="K110"/>
  <c r="J109"/>
  <c r="I108"/>
  <c r="I107"/>
  <c r="J110"/>
  <c r="I109"/>
  <c r="H108"/>
  <c r="N108" s="1"/>
  <c r="P108" s="1"/>
  <c r="H107"/>
  <c r="N107" s="1"/>
  <c r="G270"/>
  <c r="G163"/>
  <c r="G112"/>
  <c r="K88"/>
  <c r="K87"/>
  <c r="J88"/>
  <c r="J87"/>
  <c r="I88"/>
  <c r="I87"/>
  <c r="H88"/>
  <c r="H87"/>
  <c r="J138"/>
  <c r="H137"/>
  <c r="K136"/>
  <c r="K135"/>
  <c r="I138"/>
  <c r="K137"/>
  <c r="J136"/>
  <c r="J135"/>
  <c r="H138"/>
  <c r="J137"/>
  <c r="I136"/>
  <c r="I135"/>
  <c r="K138"/>
  <c r="I137"/>
  <c r="H136"/>
  <c r="N136" s="1"/>
  <c r="P136" s="1"/>
  <c r="H135"/>
  <c r="N135" s="1"/>
  <c r="J268"/>
  <c r="I267"/>
  <c r="I266"/>
  <c r="H265"/>
  <c r="K264"/>
  <c r="K263"/>
  <c r="I268"/>
  <c r="H267"/>
  <c r="H266"/>
  <c r="K265"/>
  <c r="J264"/>
  <c r="J263"/>
  <c r="H268"/>
  <c r="K267"/>
  <c r="K266"/>
  <c r="J265"/>
  <c r="I264"/>
  <c r="I263"/>
  <c r="K268"/>
  <c r="J267"/>
  <c r="J266"/>
  <c r="I265"/>
  <c r="H264"/>
  <c r="H263"/>
  <c r="A14" i="55"/>
  <c r="N7" i="60"/>
  <c r="P7" s="1"/>
  <c r="N30"/>
  <c r="B12" i="61"/>
  <c r="D13"/>
  <c r="D14" s="1"/>
  <c r="G13"/>
  <c r="G14" s="1"/>
  <c r="F13"/>
  <c r="F14" s="1"/>
  <c r="E13"/>
  <c r="E14" s="1"/>
  <c r="N8" i="60"/>
  <c r="P8" s="1"/>
  <c r="L43" i="63"/>
  <c r="O40"/>
  <c r="N40"/>
  <c r="M17" i="52"/>
  <c r="F36" i="47"/>
  <c r="G15"/>
  <c r="G18"/>
  <c r="E33"/>
  <c r="A46"/>
  <c r="C29"/>
  <c r="G42"/>
  <c r="G23"/>
  <c r="F39"/>
  <c r="H25" i="57"/>
  <c r="H30"/>
  <c r="F31" i="47"/>
  <c r="F48"/>
  <c r="F32"/>
  <c r="F16"/>
  <c r="G46"/>
  <c r="G30"/>
  <c r="B38"/>
  <c r="C43"/>
  <c r="F23"/>
  <c r="A22"/>
  <c r="C32"/>
  <c r="C41"/>
  <c r="F24"/>
  <c r="G27"/>
  <c r="D39"/>
  <c r="C22"/>
  <c r="C23"/>
  <c r="E50"/>
  <c r="O39" i="63"/>
  <c r="O45"/>
  <c r="O49"/>
  <c r="N44"/>
  <c r="M44"/>
  <c r="L49"/>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N4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O47" i="63"/>
  <c r="N17" i="52"/>
  <c r="A14" i="58"/>
  <c r="A15" s="1"/>
  <c r="A16" s="1"/>
  <c r="A17" s="1"/>
  <c r="A18" s="1"/>
  <c r="A19" s="1"/>
  <c r="A20" s="1"/>
  <c r="L17" i="52"/>
  <c r="K17"/>
  <c r="O50" i="63"/>
  <c r="M46"/>
  <c r="N41"/>
  <c r="O41"/>
  <c r="O46"/>
  <c r="N50"/>
  <c r="N46"/>
  <c r="M40"/>
  <c r="L41"/>
  <c r="N43"/>
  <c r="O17"/>
  <c r="L17"/>
  <c r="N17"/>
  <c r="N45"/>
  <c r="F24" i="58"/>
  <c r="A27"/>
  <c r="J14" i="14"/>
  <c r="G32" i="58"/>
  <c r="G40" i="14"/>
  <c r="J52" i="63"/>
  <c r="K52"/>
  <c r="H52"/>
  <c r="I52"/>
  <c r="O42"/>
  <c r="N42"/>
  <c r="A29" i="58"/>
  <c r="O48" i="63"/>
  <c r="N48"/>
  <c r="M42"/>
  <c r="A26" i="58"/>
  <c r="L45" i="63"/>
  <c r="A21" i="58"/>
  <c r="M17" i="63"/>
  <c r="M48"/>
  <c r="N39"/>
  <c r="L39"/>
  <c r="C36" i="47"/>
  <c r="G48"/>
  <c r="A18"/>
  <c r="C24"/>
  <c r="A30"/>
  <c r="E42"/>
  <c r="C48"/>
  <c r="C16"/>
  <c r="E22"/>
  <c r="G28"/>
  <c r="E34"/>
  <c r="G40"/>
  <c r="B47"/>
  <c r="A15"/>
  <c r="G20"/>
  <c r="A50"/>
  <c r="B27"/>
  <c r="D33"/>
  <c r="B39"/>
  <c r="D45"/>
  <c r="H32" i="58"/>
  <c r="I14"/>
  <c r="I15" s="1"/>
  <c r="I16" s="1"/>
  <c r="I17" s="1"/>
  <c r="I18" s="1"/>
  <c r="I19" s="1"/>
  <c r="I20" s="1"/>
  <c r="F20"/>
  <c r="F28"/>
  <c r="A23"/>
  <c r="D23" i="56"/>
  <c r="H19"/>
  <c r="J27" i="57"/>
  <c r="F14" i="58"/>
  <c r="A25"/>
  <c r="A22"/>
  <c r="A30"/>
  <c r="E5"/>
  <c r="K21" i="57"/>
  <c r="A17" i="56"/>
  <c r="A18" s="1"/>
  <c r="A19" s="1"/>
  <c r="A20" s="1"/>
  <c r="A21" s="1"/>
  <c r="A22" s="1"/>
  <c r="J22" i="57"/>
  <c r="K23"/>
  <c r="H27"/>
  <c r="K22"/>
  <c r="H15"/>
  <c r="J14"/>
  <c r="J28"/>
  <c r="H17" i="56"/>
  <c r="J19" i="57"/>
  <c r="J30"/>
  <c r="J29"/>
  <c r="H26"/>
  <c r="H18" i="56"/>
  <c r="J18" i="57"/>
  <c r="K17" i="62"/>
  <c r="A15" i="57"/>
  <c r="A16" s="1"/>
  <c r="A17" s="1"/>
  <c r="A18" s="1"/>
  <c r="A19" s="1"/>
  <c r="A20" s="1"/>
  <c r="G32"/>
  <c r="J24"/>
  <c r="D21" i="56"/>
  <c r="I32" i="57"/>
  <c r="H14"/>
  <c r="J25"/>
  <c r="H22"/>
  <c r="J15"/>
  <c r="H20"/>
  <c r="K14"/>
  <c r="K15" s="1"/>
  <c r="K16" s="1"/>
  <c r="K17" s="1"/>
  <c r="K18" s="1"/>
  <c r="K19" s="1"/>
  <c r="K20" s="1"/>
  <c r="K26"/>
  <c r="H17"/>
  <c r="J23"/>
  <c r="J26"/>
  <c r="H24"/>
  <c r="J20"/>
  <c r="K25"/>
  <c r="J16"/>
  <c r="J21"/>
  <c r="H28"/>
  <c r="K37" i="55"/>
  <c r="K60"/>
  <c r="K24" i="57"/>
  <c r="K27"/>
  <c r="K30"/>
  <c r="J17"/>
  <c r="H23"/>
  <c r="H16"/>
  <c r="K28"/>
  <c r="H18"/>
  <c r="K45" i="55"/>
  <c r="L29" i="57"/>
  <c r="K29"/>
  <c r="M17" i="62"/>
  <c r="M34" i="45"/>
  <c r="O34"/>
  <c r="B13" i="61"/>
  <c r="N70" i="60" l="1"/>
  <c r="P70" s="1"/>
  <c r="N71"/>
  <c r="P71" s="1"/>
  <c r="F12" i="43"/>
  <c r="A101" i="42"/>
  <c r="H104"/>
  <c r="H102"/>
  <c r="G104"/>
  <c r="G102"/>
  <c r="F104"/>
  <c r="F102"/>
  <c r="E104"/>
  <c r="I104" s="1"/>
  <c r="E102"/>
  <c r="D104"/>
  <c r="D102"/>
  <c r="C104"/>
  <c r="C102"/>
  <c r="B104"/>
  <c r="B102"/>
  <c r="A104"/>
  <c r="A102"/>
  <c r="H103"/>
  <c r="H101"/>
  <c r="G103"/>
  <c r="G101"/>
  <c r="F103"/>
  <c r="F101"/>
  <c r="E103"/>
  <c r="E101"/>
  <c r="D103"/>
  <c r="D101"/>
  <c r="C103"/>
  <c r="C101"/>
  <c r="B103"/>
  <c r="B101"/>
  <c r="A103"/>
  <c r="N69" i="60"/>
  <c r="P69" s="1"/>
  <c r="N48"/>
  <c r="N49"/>
  <c r="P49" s="1"/>
  <c r="F68" s="1"/>
  <c r="G68" s="1"/>
  <c r="I41" i="14"/>
  <c r="E41" i="69"/>
  <c r="N41"/>
  <c r="N158" i="60"/>
  <c r="A83" i="43"/>
  <c r="E83"/>
  <c r="C84"/>
  <c r="D83"/>
  <c r="B83"/>
  <c r="F83"/>
  <c r="D84"/>
  <c r="A84"/>
  <c r="C83"/>
  <c r="G83"/>
  <c r="F84"/>
  <c r="E84"/>
  <c r="B84"/>
  <c r="G84"/>
  <c r="F15"/>
  <c r="A53"/>
  <c r="F75"/>
  <c r="E66"/>
  <c r="D57"/>
  <c r="C77"/>
  <c r="B68"/>
  <c r="A59"/>
  <c r="D79"/>
  <c r="C70"/>
  <c r="B61"/>
  <c r="B82"/>
  <c r="A73"/>
  <c r="G63"/>
  <c r="F54"/>
  <c r="B75"/>
  <c r="A66"/>
  <c r="G56"/>
  <c r="F76"/>
  <c r="E67"/>
  <c r="D58"/>
  <c r="G78"/>
  <c r="F69"/>
  <c r="E60"/>
  <c r="E81"/>
  <c r="D72"/>
  <c r="C63"/>
  <c r="B54"/>
  <c r="G76"/>
  <c r="F67"/>
  <c r="E58"/>
  <c r="D78"/>
  <c r="C69"/>
  <c r="B60"/>
  <c r="E80"/>
  <c r="D71"/>
  <c r="C62"/>
  <c r="B53"/>
  <c r="B74"/>
  <c r="A65"/>
  <c r="G55"/>
  <c r="E78"/>
  <c r="D69"/>
  <c r="C60"/>
  <c r="B80"/>
  <c r="A71"/>
  <c r="G61"/>
  <c r="G82"/>
  <c r="B73"/>
  <c r="A64"/>
  <c r="G54"/>
  <c r="G75"/>
  <c r="F66"/>
  <c r="E57"/>
  <c r="E82"/>
  <c r="D73"/>
  <c r="C64"/>
  <c r="B55"/>
  <c r="A75"/>
  <c r="G65"/>
  <c r="F56"/>
  <c r="B77"/>
  <c r="A68"/>
  <c r="G58"/>
  <c r="G79"/>
  <c r="F70"/>
  <c r="E61"/>
  <c r="A82"/>
  <c r="G72"/>
  <c r="F63"/>
  <c r="E54"/>
  <c r="D74"/>
  <c r="C65"/>
  <c r="B56"/>
  <c r="E76"/>
  <c r="D67"/>
  <c r="C58"/>
  <c r="C79"/>
  <c r="B70"/>
  <c r="A61"/>
  <c r="D82"/>
  <c r="E74"/>
  <c r="D65"/>
  <c r="C56"/>
  <c r="B76"/>
  <c r="A67"/>
  <c r="G57"/>
  <c r="C78"/>
  <c r="B69"/>
  <c r="A60"/>
  <c r="A81"/>
  <c r="G71"/>
  <c r="F62"/>
  <c r="E53"/>
  <c r="C76"/>
  <c r="B67"/>
  <c r="A58"/>
  <c r="G77"/>
  <c r="F68"/>
  <c r="E59"/>
  <c r="A80"/>
  <c r="G70"/>
  <c r="F61"/>
  <c r="C82"/>
  <c r="E73"/>
  <c r="D64"/>
  <c r="C55"/>
  <c r="C80"/>
  <c r="B71"/>
  <c r="A62"/>
  <c r="G81"/>
  <c r="F72"/>
  <c r="E63"/>
  <c r="D54"/>
  <c r="G74"/>
  <c r="F65"/>
  <c r="E56"/>
  <c r="E77"/>
  <c r="D68"/>
  <c r="C59"/>
  <c r="F79"/>
  <c r="E70"/>
  <c r="D61"/>
  <c r="C81"/>
  <c r="B72"/>
  <c r="A63"/>
  <c r="G53"/>
  <c r="C74"/>
  <c r="B65"/>
  <c r="A56"/>
  <c r="A77"/>
  <c r="G67"/>
  <c r="F58"/>
  <c r="D81"/>
  <c r="C72"/>
  <c r="B63"/>
  <c r="A54"/>
  <c r="G73"/>
  <c r="F64"/>
  <c r="E55"/>
  <c r="A76"/>
  <c r="G66"/>
  <c r="F57"/>
  <c r="F78"/>
  <c r="E69"/>
  <c r="D60"/>
  <c r="F82"/>
  <c r="A74"/>
  <c r="G64"/>
  <c r="F55"/>
  <c r="E75"/>
  <c r="D66"/>
  <c r="C57"/>
  <c r="F77"/>
  <c r="E68"/>
  <c r="D59"/>
  <c r="D80"/>
  <c r="C71"/>
  <c r="B62"/>
  <c r="A78"/>
  <c r="G68"/>
  <c r="F59"/>
  <c r="E79"/>
  <c r="D70"/>
  <c r="C61"/>
  <c r="F81"/>
  <c r="E72"/>
  <c r="D63"/>
  <c r="C54"/>
  <c r="C75"/>
  <c r="B66"/>
  <c r="A57"/>
  <c r="D77"/>
  <c r="C68"/>
  <c r="B59"/>
  <c r="A79"/>
  <c r="G69"/>
  <c r="F60"/>
  <c r="B81"/>
  <c r="A72"/>
  <c r="G62"/>
  <c r="F53"/>
  <c r="F74"/>
  <c r="E65"/>
  <c r="D56"/>
  <c r="B79"/>
  <c r="A70"/>
  <c r="G60"/>
  <c r="F80"/>
  <c r="E71"/>
  <c r="D62"/>
  <c r="C53"/>
  <c r="F73"/>
  <c r="E64"/>
  <c r="D55"/>
  <c r="D76"/>
  <c r="C67"/>
  <c r="B58"/>
  <c r="G80"/>
  <c r="F71"/>
  <c r="E62"/>
  <c r="D53"/>
  <c r="C73"/>
  <c r="B64"/>
  <c r="A55"/>
  <c r="D75"/>
  <c r="C66"/>
  <c r="B57"/>
  <c r="B78"/>
  <c r="A69"/>
  <c r="G59"/>
  <c r="G42"/>
  <c r="G44"/>
  <c r="F21"/>
  <c r="G32"/>
  <c r="F46"/>
  <c r="G16"/>
  <c r="G31"/>
  <c r="F47"/>
  <c r="G15"/>
  <c r="F19"/>
  <c r="G14"/>
  <c r="G20"/>
  <c r="F42"/>
  <c r="G13"/>
  <c r="G51"/>
  <c r="G29"/>
  <c r="G49"/>
  <c r="F16"/>
  <c r="F17"/>
  <c r="H5" i="39"/>
  <c r="F13" i="43"/>
  <c r="F45"/>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P48" i="60"/>
  <c r="N212"/>
  <c r="P212" s="1"/>
  <c r="N216"/>
  <c r="P216" s="1"/>
  <c r="N264"/>
  <c r="P264" s="1"/>
  <c r="N88"/>
  <c r="P88" s="1"/>
  <c r="J15" i="14"/>
  <c r="K18" i="52"/>
  <c r="F11" i="48"/>
  <c r="D12"/>
  <c r="F14"/>
  <c r="H16"/>
  <c r="BW16" s="1"/>
  <c r="C19"/>
  <c r="E21"/>
  <c r="G23"/>
  <c r="T23" s="1"/>
  <c r="B26"/>
  <c r="D28"/>
  <c r="F30"/>
  <c r="H32"/>
  <c r="S32" s="1"/>
  <c r="C35"/>
  <c r="E37"/>
  <c r="E12"/>
  <c r="G14"/>
  <c r="T14" s="1"/>
  <c r="B17"/>
  <c r="D19"/>
  <c r="F21"/>
  <c r="H23"/>
  <c r="K23" s="1"/>
  <c r="C26"/>
  <c r="E28"/>
  <c r="G30"/>
  <c r="L30" s="1"/>
  <c r="B33"/>
  <c r="D35"/>
  <c r="F37"/>
  <c r="G13"/>
  <c r="L13" s="1"/>
  <c r="B16"/>
  <c r="D18"/>
  <c r="F20"/>
  <c r="H22"/>
  <c r="BW22" s="1"/>
  <c r="C25"/>
  <c r="E27"/>
  <c r="G29"/>
  <c r="AX29" s="1"/>
  <c r="B32"/>
  <c r="D34"/>
  <c r="F36"/>
  <c r="H38"/>
  <c r="BQ38" s="1"/>
  <c r="H13"/>
  <c r="S13" s="1"/>
  <c r="C16"/>
  <c r="E18"/>
  <c r="G20"/>
  <c r="CN20" s="1"/>
  <c r="B23"/>
  <c r="D25"/>
  <c r="F27"/>
  <c r="H29"/>
  <c r="DA29" s="1"/>
  <c r="C32"/>
  <c r="E34"/>
  <c r="G36"/>
  <c r="AX36" s="1"/>
  <c r="H12"/>
  <c r="M12" s="1"/>
  <c r="C15"/>
  <c r="E17"/>
  <c r="G19"/>
  <c r="AJ19" s="1"/>
  <c r="B22"/>
  <c r="D24"/>
  <c r="F26"/>
  <c r="H28"/>
  <c r="AE28" s="1"/>
  <c r="C31"/>
  <c r="E33"/>
  <c r="G35"/>
  <c r="L35" s="1"/>
  <c r="B38"/>
  <c r="B13"/>
  <c r="D15"/>
  <c r="F17"/>
  <c r="H19"/>
  <c r="AI19" s="1"/>
  <c r="C22"/>
  <c r="E24"/>
  <c r="G26"/>
  <c r="P26" s="1"/>
  <c r="B29"/>
  <c r="D31"/>
  <c r="F33"/>
  <c r="H35"/>
  <c r="AI35" s="1"/>
  <c r="C38"/>
  <c r="B12"/>
  <c r="D14"/>
  <c r="F16"/>
  <c r="H18"/>
  <c r="K18" s="1"/>
  <c r="C21"/>
  <c r="E23"/>
  <c r="G25"/>
  <c r="AN25" s="1"/>
  <c r="B28"/>
  <c r="D30"/>
  <c r="F32"/>
  <c r="H34"/>
  <c r="K34" s="1"/>
  <c r="C37"/>
  <c r="C12"/>
  <c r="E14"/>
  <c r="G16"/>
  <c r="L16" s="1"/>
  <c r="B19"/>
  <c r="D21"/>
  <c r="F23"/>
  <c r="H25"/>
  <c r="AI25" s="1"/>
  <c r="C28"/>
  <c r="E30"/>
  <c r="G32"/>
  <c r="AT32" s="1"/>
  <c r="B35"/>
  <c r="D37"/>
  <c r="E13"/>
  <c r="G15"/>
  <c r="T15" s="1"/>
  <c r="B18"/>
  <c r="D20"/>
  <c r="F22"/>
  <c r="H24"/>
  <c r="O24" s="1"/>
  <c r="C27"/>
  <c r="E29"/>
  <c r="G31"/>
  <c r="J31" s="1"/>
  <c r="B34"/>
  <c r="D36"/>
  <c r="F38"/>
  <c r="F13"/>
  <c r="H15"/>
  <c r="AE15" s="1"/>
  <c r="C18"/>
  <c r="E20"/>
  <c r="G22"/>
  <c r="CJ22" s="1"/>
  <c r="B25"/>
  <c r="D27"/>
  <c r="F29"/>
  <c r="H31"/>
  <c r="M31" s="1"/>
  <c r="C34"/>
  <c r="E36"/>
  <c r="G38"/>
  <c r="AP38" s="1"/>
  <c r="F12"/>
  <c r="H14"/>
  <c r="BW14" s="1"/>
  <c r="C17"/>
  <c r="E19"/>
  <c r="G21"/>
  <c r="P21" s="1"/>
  <c r="B24"/>
  <c r="D26"/>
  <c r="F28"/>
  <c r="AQ28" s="1"/>
  <c r="H30"/>
  <c r="AI30" s="1"/>
  <c r="C33"/>
  <c r="E35"/>
  <c r="G37"/>
  <c r="CR37" s="1"/>
  <c r="G12"/>
  <c r="BN12" s="1"/>
  <c r="B15"/>
  <c r="D17"/>
  <c r="F19"/>
  <c r="H21"/>
  <c r="CI21" s="1"/>
  <c r="C24"/>
  <c r="E26"/>
  <c r="G28"/>
  <c r="AF28" s="1"/>
  <c r="B31"/>
  <c r="D33"/>
  <c r="F35"/>
  <c r="AQ35" s="1"/>
  <c r="H37"/>
  <c r="CY37" s="1"/>
  <c r="B14"/>
  <c r="D16"/>
  <c r="F18"/>
  <c r="H20"/>
  <c r="AE20" s="1"/>
  <c r="C23"/>
  <c r="E25"/>
  <c r="G27"/>
  <c r="L27" s="1"/>
  <c r="B30"/>
  <c r="D32"/>
  <c r="F34"/>
  <c r="H36"/>
  <c r="BW36" s="1"/>
  <c r="C14"/>
  <c r="E16"/>
  <c r="G18"/>
  <c r="P18" s="1"/>
  <c r="B21"/>
  <c r="D23"/>
  <c r="F25"/>
  <c r="H27"/>
  <c r="S27" s="1"/>
  <c r="C30"/>
  <c r="E32"/>
  <c r="G34"/>
  <c r="AT34" s="1"/>
  <c r="B37"/>
  <c r="C13"/>
  <c r="E15"/>
  <c r="G17"/>
  <c r="BV17" s="1"/>
  <c r="B20"/>
  <c r="D22"/>
  <c r="F24"/>
  <c r="H26"/>
  <c r="BW26" s="1"/>
  <c r="C29"/>
  <c r="E31"/>
  <c r="G33"/>
  <c r="AB33" s="1"/>
  <c r="B36"/>
  <c r="D38"/>
  <c r="D13"/>
  <c r="F15"/>
  <c r="H17"/>
  <c r="K17" s="1"/>
  <c r="C20"/>
  <c r="E22"/>
  <c r="G24"/>
  <c r="B27"/>
  <c r="D29"/>
  <c r="F31"/>
  <c r="H33"/>
  <c r="W33" s="1"/>
  <c r="C36"/>
  <c r="E38"/>
  <c r="K25"/>
  <c r="E11"/>
  <c r="B11"/>
  <c r="C11"/>
  <c r="G11"/>
  <c r="D11"/>
  <c r="H11"/>
  <c r="N217" i="60"/>
  <c r="P217" s="1"/>
  <c r="N263"/>
  <c r="P263" s="1"/>
  <c r="N87"/>
  <c r="N187"/>
  <c r="P187" s="1"/>
  <c r="P135"/>
  <c r="P107"/>
  <c r="N110"/>
  <c r="P110" s="1"/>
  <c r="N161"/>
  <c r="P161" s="1"/>
  <c r="P185"/>
  <c r="B51" i="55"/>
  <c r="A50"/>
  <c r="N137" i="60"/>
  <c r="P137" s="1"/>
  <c r="A15" i="55"/>
  <c r="N268" i="60"/>
  <c r="P268" s="1"/>
  <c r="N266"/>
  <c r="P266" s="1"/>
  <c r="N138"/>
  <c r="P138" s="1"/>
  <c r="P158"/>
  <c r="N159"/>
  <c r="P159" s="1"/>
  <c r="N215"/>
  <c r="P215" s="1"/>
  <c r="N213"/>
  <c r="P213" s="1"/>
  <c r="N188"/>
  <c r="P188" s="1"/>
  <c r="N267"/>
  <c r="P267" s="1"/>
  <c r="N265"/>
  <c r="P265" s="1"/>
  <c r="N109"/>
  <c r="P109" s="1"/>
  <c r="N160"/>
  <c r="P160" s="1"/>
  <c r="N214"/>
  <c r="P214" s="1"/>
  <c r="N189"/>
  <c r="P189" s="1"/>
  <c r="P29"/>
  <c r="F47" s="1"/>
  <c r="G47" s="1"/>
  <c r="N47" s="1"/>
  <c r="N32"/>
  <c r="N11"/>
  <c r="P9"/>
  <c r="B14" i="61"/>
  <c r="I15" i="14"/>
  <c r="L18" i="52"/>
  <c r="O18" i="63"/>
  <c r="M18" i="52"/>
  <c r="N18"/>
  <c r="I13" i="42"/>
  <c r="L28" i="52"/>
  <c r="M28"/>
  <c r="K28"/>
  <c r="L18" i="63"/>
  <c r="N18"/>
  <c r="J41" i="14"/>
  <c r="N53" i="63"/>
  <c r="L53"/>
  <c r="I32" i="58"/>
  <c r="M53" i="63"/>
  <c r="O53"/>
  <c r="N28" i="52"/>
  <c r="M18" i="63"/>
  <c r="G51" i="47"/>
  <c r="B21" i="42"/>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89" s="1"/>
  <c r="A52"/>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H11" i="50"/>
  <c r="F11" i="51"/>
  <c r="D11" i="50"/>
  <c r="F11"/>
  <c r="D11" i="51"/>
  <c r="C11"/>
  <c r="E11"/>
  <c r="H11"/>
  <c r="C11" i="50"/>
  <c r="G11" i="51"/>
  <c r="G11" i="50"/>
  <c r="B11"/>
  <c r="E11"/>
  <c r="B11" i="51"/>
  <c r="A16" i="42"/>
  <c r="H99"/>
  <c r="H97"/>
  <c r="H95"/>
  <c r="H93"/>
  <c r="H91"/>
  <c r="H89"/>
  <c r="H87"/>
  <c r="H85"/>
  <c r="H83"/>
  <c r="H81"/>
  <c r="H79"/>
  <c r="H77"/>
  <c r="H75"/>
  <c r="H73"/>
  <c r="H71"/>
  <c r="H69"/>
  <c r="H67"/>
  <c r="H65"/>
  <c r="H63"/>
  <c r="H61"/>
  <c r="H59"/>
  <c r="H57"/>
  <c r="H55"/>
  <c r="H53"/>
  <c r="H51"/>
  <c r="H49"/>
  <c r="H47"/>
  <c r="H45"/>
  <c r="H43"/>
  <c r="H41"/>
  <c r="H39"/>
  <c r="H37"/>
  <c r="H35"/>
  <c r="H33"/>
  <c r="H31"/>
  <c r="H29"/>
  <c r="H27"/>
  <c r="H25"/>
  <c r="H23"/>
  <c r="H21"/>
  <c r="H19"/>
  <c r="H17"/>
  <c r="A100"/>
  <c r="C97"/>
  <c r="F94"/>
  <c r="A92"/>
  <c r="C89"/>
  <c r="F86"/>
  <c r="A84"/>
  <c r="C81"/>
  <c r="F78"/>
  <c r="A76"/>
  <c r="C73"/>
  <c r="F70"/>
  <c r="A68"/>
  <c r="C65"/>
  <c r="F62"/>
  <c r="A60"/>
  <c r="C57"/>
  <c r="F54"/>
  <c r="A52"/>
  <c r="F99"/>
  <c r="A97"/>
  <c r="C94"/>
  <c r="F91"/>
  <c r="E18"/>
  <c r="H98"/>
  <c r="D96"/>
  <c r="D93"/>
  <c r="H90"/>
  <c r="D88"/>
  <c r="D85"/>
  <c r="H82"/>
  <c r="D80"/>
  <c r="D77"/>
  <c r="H74"/>
  <c r="D72"/>
  <c r="D69"/>
  <c r="H66"/>
  <c r="D64"/>
  <c r="D61"/>
  <c r="H58"/>
  <c r="D56"/>
  <c r="D53"/>
  <c r="H50"/>
  <c r="D48"/>
  <c r="D45"/>
  <c r="H42"/>
  <c r="D40"/>
  <c r="D37"/>
  <c r="H34"/>
  <c r="D32"/>
  <c r="D29"/>
  <c r="H26"/>
  <c r="D24"/>
  <c r="D21"/>
  <c r="H18"/>
  <c r="F100"/>
  <c r="F96"/>
  <c r="C93"/>
  <c r="A90"/>
  <c r="A86"/>
  <c r="F82"/>
  <c r="C79"/>
  <c r="C75"/>
  <c r="A72"/>
  <c r="F68"/>
  <c r="F64"/>
  <c r="C61"/>
  <c r="A58"/>
  <c r="A54"/>
  <c r="F50"/>
  <c r="F97"/>
  <c r="F93"/>
  <c r="C90"/>
  <c r="F87"/>
  <c r="A85"/>
  <c r="C82"/>
  <c r="F79"/>
  <c r="A77"/>
  <c r="C74"/>
  <c r="F71"/>
  <c r="A69"/>
  <c r="C66"/>
  <c r="F63"/>
  <c r="A61"/>
  <c r="C58"/>
  <c r="F55"/>
  <c r="G100"/>
  <c r="B98"/>
  <c r="E95"/>
  <c r="G92"/>
  <c r="B90"/>
  <c r="E87"/>
  <c r="G84"/>
  <c r="B82"/>
  <c r="E79"/>
  <c r="G76"/>
  <c r="B74"/>
  <c r="E71"/>
  <c r="G68"/>
  <c r="B66"/>
  <c r="E63"/>
  <c r="G60"/>
  <c r="B58"/>
  <c r="E55"/>
  <c r="G52"/>
  <c r="B50"/>
  <c r="G91"/>
  <c r="B81"/>
  <c r="E70"/>
  <c r="G59"/>
  <c r="B51"/>
  <c r="A48"/>
  <c r="C45"/>
  <c r="F42"/>
  <c r="A40"/>
  <c r="C37"/>
  <c r="F34"/>
  <c r="A32"/>
  <c r="C29"/>
  <c r="F26"/>
  <c r="A24"/>
  <c r="C21"/>
  <c r="F18"/>
  <c r="B16"/>
  <c r="B14"/>
  <c r="B91"/>
  <c r="E80"/>
  <c r="G69"/>
  <c r="B59"/>
  <c r="A51"/>
  <c r="G47"/>
  <c r="B45"/>
  <c r="E42"/>
  <c r="G39"/>
  <c r="B37"/>
  <c r="E34"/>
  <c r="G31"/>
  <c r="B29"/>
  <c r="E26"/>
  <c r="G23"/>
  <c r="B93"/>
  <c r="E82"/>
  <c r="G71"/>
  <c r="B61"/>
  <c r="G51"/>
  <c r="C48"/>
  <c r="F45"/>
  <c r="A43"/>
  <c r="C40"/>
  <c r="F37"/>
  <c r="A35"/>
  <c r="C32"/>
  <c r="F29"/>
  <c r="A27"/>
  <c r="C24"/>
  <c r="F21"/>
  <c r="A19"/>
  <c r="D16"/>
  <c r="D14"/>
  <c r="E92"/>
  <c r="G81"/>
  <c r="B71"/>
  <c r="E60"/>
  <c r="F51"/>
  <c r="B48"/>
  <c r="E45"/>
  <c r="G42"/>
  <c r="B40"/>
  <c r="E37"/>
  <c r="G34"/>
  <c r="B32"/>
  <c r="E29"/>
  <c r="G26"/>
  <c r="B24"/>
  <c r="E21"/>
  <c r="G18"/>
  <c r="C16"/>
  <c r="C14"/>
  <c r="B19"/>
  <c r="G19"/>
  <c r="H100"/>
  <c r="D98"/>
  <c r="D95"/>
  <c r="H92"/>
  <c r="D90"/>
  <c r="D87"/>
  <c r="H84"/>
  <c r="D82"/>
  <c r="D79"/>
  <c r="H76"/>
  <c r="D74"/>
  <c r="D71"/>
  <c r="H68"/>
  <c r="D66"/>
  <c r="D63"/>
  <c r="H60"/>
  <c r="D58"/>
  <c r="D55"/>
  <c r="H52"/>
  <c r="D50"/>
  <c r="D47"/>
  <c r="H44"/>
  <c r="D42"/>
  <c r="D39"/>
  <c r="H36"/>
  <c r="D34"/>
  <c r="D31"/>
  <c r="H28"/>
  <c r="D26"/>
  <c r="D23"/>
  <c r="H20"/>
  <c r="D18"/>
  <c r="C99"/>
  <c r="A96"/>
  <c r="F92"/>
  <c r="F88"/>
  <c r="C85"/>
  <c r="A82"/>
  <c r="A78"/>
  <c r="F74"/>
  <c r="C71"/>
  <c r="C67"/>
  <c r="A64"/>
  <c r="F60"/>
  <c r="F56"/>
  <c r="C53"/>
  <c r="C100"/>
  <c r="C96"/>
  <c r="A93"/>
  <c r="F89"/>
  <c r="A87"/>
  <c r="C84"/>
  <c r="F81"/>
  <c r="A79"/>
  <c r="C76"/>
  <c r="F73"/>
  <c r="A71"/>
  <c r="C68"/>
  <c r="F65"/>
  <c r="A63"/>
  <c r="C60"/>
  <c r="F57"/>
  <c r="A55"/>
  <c r="B100"/>
  <c r="E97"/>
  <c r="G94"/>
  <c r="B92"/>
  <c r="E89"/>
  <c r="G86"/>
  <c r="B84"/>
  <c r="E81"/>
  <c r="G78"/>
  <c r="B76"/>
  <c r="E73"/>
  <c r="G70"/>
  <c r="B68"/>
  <c r="E65"/>
  <c r="G62"/>
  <c r="B60"/>
  <c r="E57"/>
  <c r="G54"/>
  <c r="B52"/>
  <c r="G99"/>
  <c r="B89"/>
  <c r="E78"/>
  <c r="G67"/>
  <c r="B57"/>
  <c r="A50"/>
  <c r="C47"/>
  <c r="F44"/>
  <c r="A42"/>
  <c r="C39"/>
  <c r="F36"/>
  <c r="A34"/>
  <c r="C31"/>
  <c r="F28"/>
  <c r="A26"/>
  <c r="C23"/>
  <c r="F20"/>
  <c r="A18"/>
  <c r="F15"/>
  <c r="B99"/>
  <c r="E88"/>
  <c r="G77"/>
  <c r="B67"/>
  <c r="E56"/>
  <c r="G49"/>
  <c r="B47"/>
  <c r="E44"/>
  <c r="G41"/>
  <c r="B39"/>
  <c r="E36"/>
  <c r="G33"/>
  <c r="B31"/>
  <c r="E28"/>
  <c r="G25"/>
  <c r="B23"/>
  <c r="E90"/>
  <c r="G79"/>
  <c r="B69"/>
  <c r="E58"/>
  <c r="E50"/>
  <c r="F47"/>
  <c r="A45"/>
  <c r="C42"/>
  <c r="F39"/>
  <c r="A37"/>
  <c r="C34"/>
  <c r="F31"/>
  <c r="A29"/>
  <c r="C26"/>
  <c r="F23"/>
  <c r="A21"/>
  <c r="C18"/>
  <c r="H15"/>
  <c r="E100"/>
  <c r="G89"/>
  <c r="B79"/>
  <c r="E68"/>
  <c r="G57"/>
  <c r="C50"/>
  <c r="E47"/>
  <c r="G44"/>
  <c r="B42"/>
  <c r="E39"/>
  <c r="G36"/>
  <c r="B34"/>
  <c r="E31"/>
  <c r="G28"/>
  <c r="B26"/>
  <c r="E23"/>
  <c r="G20"/>
  <c r="B18"/>
  <c r="G15"/>
  <c r="G21"/>
  <c r="E22"/>
  <c r="E15"/>
  <c r="D100"/>
  <c r="D97"/>
  <c r="H94"/>
  <c r="D92"/>
  <c r="D89"/>
  <c r="H86"/>
  <c r="D84"/>
  <c r="D81"/>
  <c r="H78"/>
  <c r="D76"/>
  <c r="D73"/>
  <c r="H70"/>
  <c r="D68"/>
  <c r="D65"/>
  <c r="H62"/>
  <c r="D60"/>
  <c r="D57"/>
  <c r="H54"/>
  <c r="D52"/>
  <c r="D49"/>
  <c r="H46"/>
  <c r="D44"/>
  <c r="D41"/>
  <c r="H38"/>
  <c r="D36"/>
  <c r="D33"/>
  <c r="H30"/>
  <c r="D28"/>
  <c r="D25"/>
  <c r="H22"/>
  <c r="D20"/>
  <c r="D17"/>
  <c r="F98"/>
  <c r="C95"/>
  <c r="C91"/>
  <c r="A88"/>
  <c r="F84"/>
  <c r="F80"/>
  <c r="C77"/>
  <c r="A74"/>
  <c r="A70"/>
  <c r="F66"/>
  <c r="C63"/>
  <c r="C59"/>
  <c r="A56"/>
  <c r="F52"/>
  <c r="A99"/>
  <c r="F95"/>
  <c r="C92"/>
  <c r="A89"/>
  <c r="C86"/>
  <c r="F83"/>
  <c r="A81"/>
  <c r="C78"/>
  <c r="F75"/>
  <c r="A73"/>
  <c r="C70"/>
  <c r="F67"/>
  <c r="A65"/>
  <c r="C62"/>
  <c r="F59"/>
  <c r="A57"/>
  <c r="C54"/>
  <c r="E99"/>
  <c r="G96"/>
  <c r="B94"/>
  <c r="E91"/>
  <c r="G88"/>
  <c r="B86"/>
  <c r="E83"/>
  <c r="G80"/>
  <c r="B78"/>
  <c r="E75"/>
  <c r="G72"/>
  <c r="B70"/>
  <c r="E67"/>
  <c r="G64"/>
  <c r="B62"/>
  <c r="E59"/>
  <c r="G56"/>
  <c r="B54"/>
  <c r="E51"/>
  <c r="B97"/>
  <c r="E86"/>
  <c r="G75"/>
  <c r="B65"/>
  <c r="E54"/>
  <c r="C49"/>
  <c r="F46"/>
  <c r="A44"/>
  <c r="C41"/>
  <c r="F38"/>
  <c r="A36"/>
  <c r="C33"/>
  <c r="F30"/>
  <c r="A28"/>
  <c r="C25"/>
  <c r="F22"/>
  <c r="A20"/>
  <c r="C17"/>
  <c r="B15"/>
  <c r="E96"/>
  <c r="G85"/>
  <c r="B75"/>
  <c r="E64"/>
  <c r="G53"/>
  <c r="B49"/>
  <c r="E46"/>
  <c r="G43"/>
  <c r="B41"/>
  <c r="E38"/>
  <c r="G35"/>
  <c r="B33"/>
  <c r="E30"/>
  <c r="G27"/>
  <c r="B25"/>
  <c r="E98"/>
  <c r="G87"/>
  <c r="B77"/>
  <c r="E66"/>
  <c r="G55"/>
  <c r="F49"/>
  <c r="A47"/>
  <c r="C44"/>
  <c r="F41"/>
  <c r="A39"/>
  <c r="C36"/>
  <c r="F33"/>
  <c r="A31"/>
  <c r="C28"/>
  <c r="F25"/>
  <c r="A23"/>
  <c r="C20"/>
  <c r="F17"/>
  <c r="D15"/>
  <c r="G97"/>
  <c r="B87"/>
  <c r="E76"/>
  <c r="G65"/>
  <c r="B55"/>
  <c r="E49"/>
  <c r="G46"/>
  <c r="B44"/>
  <c r="E41"/>
  <c r="G38"/>
  <c r="B36"/>
  <c r="E33"/>
  <c r="G30"/>
  <c r="B28"/>
  <c r="E25"/>
  <c r="G22"/>
  <c r="B20"/>
  <c r="E17"/>
  <c r="C15"/>
  <c r="E14"/>
  <c r="A15"/>
  <c r="G17"/>
  <c r="A14"/>
  <c r="A110" s="1"/>
  <c r="D99"/>
  <c r="H96"/>
  <c r="D94"/>
  <c r="D91"/>
  <c r="H88"/>
  <c r="D86"/>
  <c r="D83"/>
  <c r="H80"/>
  <c r="D78"/>
  <c r="D75"/>
  <c r="H72"/>
  <c r="D70"/>
  <c r="D67"/>
  <c r="H64"/>
  <c r="D62"/>
  <c r="D59"/>
  <c r="H56"/>
  <c r="D54"/>
  <c r="D51"/>
  <c r="H48"/>
  <c r="D46"/>
  <c r="D43"/>
  <c r="H40"/>
  <c r="D38"/>
  <c r="D35"/>
  <c r="H32"/>
  <c r="D30"/>
  <c r="D27"/>
  <c r="H24"/>
  <c r="D22"/>
  <c r="D19"/>
  <c r="H16"/>
  <c r="A98"/>
  <c r="A94"/>
  <c r="F90"/>
  <c r="C87"/>
  <c r="C83"/>
  <c r="A80"/>
  <c r="F76"/>
  <c r="F72"/>
  <c r="C69"/>
  <c r="A66"/>
  <c r="A62"/>
  <c r="F58"/>
  <c r="C55"/>
  <c r="C51"/>
  <c r="C98"/>
  <c r="A95"/>
  <c r="A91"/>
  <c r="C88"/>
  <c r="F85"/>
  <c r="A83"/>
  <c r="C80"/>
  <c r="F77"/>
  <c r="A75"/>
  <c r="C72"/>
  <c r="F69"/>
  <c r="A67"/>
  <c r="C64"/>
  <c r="F61"/>
  <c r="A59"/>
  <c r="C56"/>
  <c r="F53"/>
  <c r="G98"/>
  <c r="B96"/>
  <c r="E93"/>
  <c r="G90"/>
  <c r="B88"/>
  <c r="E85"/>
  <c r="G82"/>
  <c r="B80"/>
  <c r="E77"/>
  <c r="G74"/>
  <c r="B72"/>
  <c r="E69"/>
  <c r="G66"/>
  <c r="B64"/>
  <c r="E61"/>
  <c r="G58"/>
  <c r="B56"/>
  <c r="E53"/>
  <c r="G50"/>
  <c r="E94"/>
  <c r="G83"/>
  <c r="B73"/>
  <c r="E62"/>
  <c r="E52"/>
  <c r="F48"/>
  <c r="A46"/>
  <c r="C43"/>
  <c r="F40"/>
  <c r="A38"/>
  <c r="C35"/>
  <c r="F32"/>
  <c r="A30"/>
  <c r="C27"/>
  <c r="F24"/>
  <c r="A22"/>
  <c r="C19"/>
  <c r="F16"/>
  <c r="F14"/>
  <c r="G93"/>
  <c r="B83"/>
  <c r="E72"/>
  <c r="G61"/>
  <c r="C52"/>
  <c r="E48"/>
  <c r="G45"/>
  <c r="B43"/>
  <c r="E40"/>
  <c r="G37"/>
  <c r="B35"/>
  <c r="E32"/>
  <c r="G29"/>
  <c r="B27"/>
  <c r="E24"/>
  <c r="G95"/>
  <c r="B85"/>
  <c r="E74"/>
  <c r="G63"/>
  <c r="B53"/>
  <c r="A49"/>
  <c r="C46"/>
  <c r="F43"/>
  <c r="A41"/>
  <c r="C38"/>
  <c r="F35"/>
  <c r="A33"/>
  <c r="C30"/>
  <c r="F27"/>
  <c r="A25"/>
  <c r="C22"/>
  <c r="F19"/>
  <c r="A17"/>
  <c r="H14"/>
  <c r="B95"/>
  <c r="E84"/>
  <c r="G73"/>
  <c r="B63"/>
  <c r="A53"/>
  <c r="G48"/>
  <c r="B46"/>
  <c r="E43"/>
  <c r="G40"/>
  <c r="B38"/>
  <c r="E35"/>
  <c r="G32"/>
  <c r="B30"/>
  <c r="E27"/>
  <c r="G24"/>
  <c r="B22"/>
  <c r="E19"/>
  <c r="G16"/>
  <c r="G14"/>
  <c r="E16"/>
  <c r="B17"/>
  <c r="E20"/>
  <c r="M8" i="39"/>
  <c r="C10"/>
  <c r="M16"/>
  <c r="C15"/>
  <c r="C12"/>
  <c r="K32" i="57"/>
  <c r="H24" i="56"/>
  <c r="J32" i="57"/>
  <c r="L14"/>
  <c r="L15" s="1"/>
  <c r="L16" s="1"/>
  <c r="L17" s="1"/>
  <c r="L18" s="1"/>
  <c r="L19" s="1"/>
  <c r="L20" s="1"/>
  <c r="H32"/>
  <c r="A26" i="56"/>
  <c r="M19" i="52" l="1"/>
  <c r="N19"/>
  <c r="L19"/>
  <c r="K19"/>
  <c r="N90" i="60"/>
  <c r="X14" i="48"/>
  <c r="BS32"/>
  <c r="BF23"/>
  <c r="V23"/>
  <c r="CT14"/>
  <c r="J16" i="14"/>
  <c r="CP23" i="48"/>
  <c r="CU32"/>
  <c r="G72" i="60"/>
  <c r="N68"/>
  <c r="P68" s="1"/>
  <c r="BH23" i="48"/>
  <c r="CN23"/>
  <c r="X23"/>
  <c r="CG32"/>
  <c r="AW32"/>
  <c r="J14"/>
  <c r="CY23"/>
  <c r="BZ23"/>
  <c r="AP23"/>
  <c r="AT23"/>
  <c r="BX23"/>
  <c r="AN23"/>
  <c r="BV23"/>
  <c r="AC32"/>
  <c r="AG32"/>
  <c r="CA32"/>
  <c r="W32"/>
  <c r="BD14"/>
  <c r="BN14"/>
  <c r="AK23"/>
  <c r="S23"/>
  <c r="AH13"/>
  <c r="CX23"/>
  <c r="CH23"/>
  <c r="BP23"/>
  <c r="AZ23"/>
  <c r="AH23"/>
  <c r="N23"/>
  <c r="CV23"/>
  <c r="CF23"/>
  <c r="BN23"/>
  <c r="AX23"/>
  <c r="AF23"/>
  <c r="P23"/>
  <c r="CS32"/>
  <c r="BC32"/>
  <c r="CW32"/>
  <c r="BG32"/>
  <c r="Q32"/>
  <c r="CI32"/>
  <c r="BI32"/>
  <c r="AE32"/>
  <c r="K32"/>
  <c r="BZ14"/>
  <c r="AD14"/>
  <c r="CN14"/>
  <c r="AR14"/>
  <c r="BY23"/>
  <c r="CS23"/>
  <c r="BM23"/>
  <c r="BM35"/>
  <c r="CT23"/>
  <c r="CD23"/>
  <c r="BL23"/>
  <c r="AV23"/>
  <c r="Z23"/>
  <c r="J23"/>
  <c r="CR23"/>
  <c r="CB23"/>
  <c r="BJ23"/>
  <c r="AR23"/>
  <c r="AB23"/>
  <c r="L23"/>
  <c r="CK32"/>
  <c r="AK32"/>
  <c r="CO32"/>
  <c r="AY32"/>
  <c r="CY32"/>
  <c r="CE32"/>
  <c r="BA32"/>
  <c r="AA32"/>
  <c r="BW32"/>
  <c r="BL14"/>
  <c r="V14"/>
  <c r="CB14"/>
  <c r="AF14"/>
  <c r="DA23"/>
  <c r="AC23"/>
  <c r="AM23"/>
  <c r="CE34"/>
  <c r="CL23"/>
  <c r="BT23"/>
  <c r="BD23"/>
  <c r="AL23"/>
  <c r="R23"/>
  <c r="CZ23"/>
  <c r="CJ23"/>
  <c r="BR23"/>
  <c r="BB23"/>
  <c r="AJ23"/>
  <c r="DA32"/>
  <c r="BK32"/>
  <c r="U32"/>
  <c r="BO32"/>
  <c r="Y32"/>
  <c r="CQ32"/>
  <c r="BQ32"/>
  <c r="AM32"/>
  <c r="O32"/>
  <c r="CL14"/>
  <c r="AP14"/>
  <c r="CV14"/>
  <c r="BF14"/>
  <c r="L14"/>
  <c r="BO23"/>
  <c r="CI23"/>
  <c r="W19"/>
  <c r="CW16"/>
  <c r="Z35"/>
  <c r="AJ26"/>
  <c r="BJ25"/>
  <c r="BF16"/>
  <c r="T35"/>
  <c r="AP26"/>
  <c r="CK35"/>
  <c r="AZ25"/>
  <c r="AS34"/>
  <c r="BP16"/>
  <c r="DA25"/>
  <c r="BM32"/>
  <c r="CT30"/>
  <c r="BM22"/>
  <c r="CW18"/>
  <c r="V35"/>
  <c r="AN35"/>
  <c r="AD26"/>
  <c r="CF26"/>
  <c r="CG35"/>
  <c r="BW35"/>
  <c r="O35"/>
  <c r="CP25"/>
  <c r="AT25"/>
  <c r="P25"/>
  <c r="AY34"/>
  <c r="AI34"/>
  <c r="V16"/>
  <c r="CW25"/>
  <c r="CE25"/>
  <c r="CP14"/>
  <c r="CD14"/>
  <c r="BT14"/>
  <c r="BH14"/>
  <c r="AV14"/>
  <c r="AL14"/>
  <c r="Z14"/>
  <c r="N14"/>
  <c r="BV14"/>
  <c r="CR14"/>
  <c r="CF14"/>
  <c r="BX14"/>
  <c r="BJ14"/>
  <c r="AX14"/>
  <c r="AN14"/>
  <c r="AB14"/>
  <c r="P14"/>
  <c r="AT14"/>
  <c r="BG23"/>
  <c r="CK23"/>
  <c r="U23"/>
  <c r="AY23"/>
  <c r="CC23"/>
  <c r="M23"/>
  <c r="CU23"/>
  <c r="CE23"/>
  <c r="BI23"/>
  <c r="AI23"/>
  <c r="BP35"/>
  <c r="CD35"/>
  <c r="CF35"/>
  <c r="BX35"/>
  <c r="CD26"/>
  <c r="CH26"/>
  <c r="CZ26"/>
  <c r="BJ26"/>
  <c r="AG35"/>
  <c r="AS35"/>
  <c r="CI35"/>
  <c r="CT25"/>
  <c r="Z25"/>
  <c r="CF25"/>
  <c r="CK34"/>
  <c r="CO34"/>
  <c r="AU34"/>
  <c r="BI34"/>
  <c r="AP16"/>
  <c r="CB16"/>
  <c r="AJ16"/>
  <c r="BG25"/>
  <c r="BW25"/>
  <c r="BI25"/>
  <c r="CL16"/>
  <c r="CZ16"/>
  <c r="BK25"/>
  <c r="O25"/>
  <c r="AE25"/>
  <c r="BA25"/>
  <c r="BQ25"/>
  <c r="CI25"/>
  <c r="CY25"/>
  <c r="AK25"/>
  <c r="CC25"/>
  <c r="Y25"/>
  <c r="AS25"/>
  <c r="CG25"/>
  <c r="AG25"/>
  <c r="P16"/>
  <c r="AF16"/>
  <c r="AX16"/>
  <c r="BN16"/>
  <c r="CF16"/>
  <c r="CV16"/>
  <c r="N16"/>
  <c r="AD16"/>
  <c r="AV16"/>
  <c r="BL16"/>
  <c r="CD16"/>
  <c r="CT16"/>
  <c r="O34"/>
  <c r="AE34"/>
  <c r="BA34"/>
  <c r="BQ34"/>
  <c r="CI34"/>
  <c r="CY34"/>
  <c r="AG34"/>
  <c r="BO34"/>
  <c r="CW34"/>
  <c r="AK34"/>
  <c r="BS34"/>
  <c r="DA34"/>
  <c r="T25"/>
  <c r="AJ25"/>
  <c r="BB25"/>
  <c r="BR25"/>
  <c r="CJ25"/>
  <c r="CZ25"/>
  <c r="R25"/>
  <c r="AL25"/>
  <c r="BD25"/>
  <c r="CL25"/>
  <c r="BZ25"/>
  <c r="W35"/>
  <c r="AM35"/>
  <c r="BI35"/>
  <c r="CA35"/>
  <c r="CQ35"/>
  <c r="AU35"/>
  <c r="AK35"/>
  <c r="BS35"/>
  <c r="DA35"/>
  <c r="AO35"/>
  <c r="BY35"/>
  <c r="AT26"/>
  <c r="X26"/>
  <c r="AN26"/>
  <c r="BF26"/>
  <c r="BX26"/>
  <c r="CN26"/>
  <c r="BV26"/>
  <c r="AH26"/>
  <c r="BP26"/>
  <c r="CX26"/>
  <c r="AL26"/>
  <c r="BT26"/>
  <c r="AB35"/>
  <c r="BB35"/>
  <c r="CB35"/>
  <c r="BV35"/>
  <c r="BF35"/>
  <c r="CZ35"/>
  <c r="AL35"/>
  <c r="BT35"/>
  <c r="J35"/>
  <c r="AP35"/>
  <c r="BZ35"/>
  <c r="O23"/>
  <c r="AE23"/>
  <c r="BA23"/>
  <c r="BQ23"/>
  <c r="CX35"/>
  <c r="BH35"/>
  <c r="R35"/>
  <c r="BL35"/>
  <c r="N35"/>
  <c r="BR35"/>
  <c r="CV35"/>
  <c r="BN35"/>
  <c r="AF35"/>
  <c r="BL26"/>
  <c r="V26"/>
  <c r="BZ26"/>
  <c r="Z26"/>
  <c r="CV26"/>
  <c r="CB26"/>
  <c r="BB26"/>
  <c r="AF26"/>
  <c r="L26"/>
  <c r="BO35"/>
  <c r="Y35"/>
  <c r="CC35"/>
  <c r="AC35"/>
  <c r="CY35"/>
  <c r="CE35"/>
  <c r="BE35"/>
  <c r="AE35"/>
  <c r="K35"/>
  <c r="CH25"/>
  <c r="CD25"/>
  <c r="AV25"/>
  <c r="V25"/>
  <c r="CV25"/>
  <c r="CB25"/>
  <c r="BF25"/>
  <c r="AF25"/>
  <c r="L25"/>
  <c r="CC34"/>
  <c r="AC34"/>
  <c r="CG34"/>
  <c r="AO34"/>
  <c r="CU34"/>
  <c r="CA34"/>
  <c r="BE34"/>
  <c r="AA34"/>
  <c r="BW34"/>
  <c r="CH16"/>
  <c r="BH16"/>
  <c r="AL16"/>
  <c r="R16"/>
  <c r="CR16"/>
  <c r="BX16"/>
  <c r="BB16"/>
  <c r="AB16"/>
  <c r="AT16"/>
  <c r="CO25"/>
  <c r="AC25"/>
  <c r="CS25"/>
  <c r="BC25"/>
  <c r="CU25"/>
  <c r="CA25"/>
  <c r="BE25"/>
  <c r="AA25"/>
  <c r="AO23"/>
  <c r="BS23"/>
  <c r="CW23"/>
  <c r="AG23"/>
  <c r="BK23"/>
  <c r="AU23"/>
  <c r="CQ23"/>
  <c r="CA23"/>
  <c r="BE23"/>
  <c r="AA23"/>
  <c r="CP35"/>
  <c r="AZ35"/>
  <c r="CT35"/>
  <c r="BD35"/>
  <c r="AT35"/>
  <c r="AX35"/>
  <c r="CR35"/>
  <c r="BJ35"/>
  <c r="X35"/>
  <c r="CT26"/>
  <c r="BD26"/>
  <c r="N26"/>
  <c r="BH26"/>
  <c r="R26"/>
  <c r="CR26"/>
  <c r="BR26"/>
  <c r="AX26"/>
  <c r="AB26"/>
  <c r="CW35"/>
  <c r="BG35"/>
  <c r="Q35"/>
  <c r="BK35"/>
  <c r="U35"/>
  <c r="CU35"/>
  <c r="BU35"/>
  <c r="BA35"/>
  <c r="AA35"/>
  <c r="BP25"/>
  <c r="BT25"/>
  <c r="AP25"/>
  <c r="N25"/>
  <c r="CR25"/>
  <c r="BX25"/>
  <c r="AX25"/>
  <c r="AB25"/>
  <c r="BV25"/>
  <c r="BK34"/>
  <c r="U34"/>
  <c r="BY34"/>
  <c r="Y34"/>
  <c r="CQ34"/>
  <c r="BU34"/>
  <c r="AW34"/>
  <c r="W34"/>
  <c r="CX16"/>
  <c r="BZ16"/>
  <c r="BD16"/>
  <c r="AH16"/>
  <c r="J16"/>
  <c r="CN16"/>
  <c r="BR16"/>
  <c r="AR16"/>
  <c r="X16"/>
  <c r="AY25"/>
  <c r="BY25"/>
  <c r="M25"/>
  <c r="CK25"/>
  <c r="U25"/>
  <c r="CQ25"/>
  <c r="BU25"/>
  <c r="AW25"/>
  <c r="W25"/>
  <c r="CC32"/>
  <c r="AS32"/>
  <c r="M32"/>
  <c r="BY32"/>
  <c r="AO32"/>
  <c r="AU32"/>
  <c r="CM32"/>
  <c r="BU32"/>
  <c r="BE32"/>
  <c r="AI32"/>
  <c r="CX14"/>
  <c r="CH14"/>
  <c r="BP14"/>
  <c r="AZ14"/>
  <c r="AH14"/>
  <c r="R14"/>
  <c r="CZ14"/>
  <c r="CJ14"/>
  <c r="BR14"/>
  <c r="BB14"/>
  <c r="AJ14"/>
  <c r="CO23"/>
  <c r="Y23"/>
  <c r="BC23"/>
  <c r="CG23"/>
  <c r="Q23"/>
  <c r="AS23"/>
  <c r="BW23"/>
  <c r="CM23"/>
  <c r="BU23"/>
  <c r="AW23"/>
  <c r="W23"/>
  <c r="CH35"/>
  <c r="AH35"/>
  <c r="CL35"/>
  <c r="AV35"/>
  <c r="CN35"/>
  <c r="AJ35"/>
  <c r="CJ35"/>
  <c r="AR35"/>
  <c r="P35"/>
  <c r="CL26"/>
  <c r="AV26"/>
  <c r="CP26"/>
  <c r="AZ26"/>
  <c r="J26"/>
  <c r="CJ26"/>
  <c r="BN26"/>
  <c r="AR26"/>
  <c r="T26"/>
  <c r="CO35"/>
  <c r="AY35"/>
  <c r="CS35"/>
  <c r="BC35"/>
  <c r="M35"/>
  <c r="CM35"/>
  <c r="BQ35"/>
  <c r="AW35"/>
  <c r="S35"/>
  <c r="CX25"/>
  <c r="BH25"/>
  <c r="BL25"/>
  <c r="AH25"/>
  <c r="J25"/>
  <c r="CN25"/>
  <c r="BN25"/>
  <c r="AR25"/>
  <c r="X25"/>
  <c r="CS34"/>
  <c r="BC34"/>
  <c r="M34"/>
  <c r="BG34"/>
  <c r="Q34"/>
  <c r="CM34"/>
  <c r="BM34"/>
  <c r="AM34"/>
  <c r="S34"/>
  <c r="CP16"/>
  <c r="BT16"/>
  <c r="AZ16"/>
  <c r="Z16"/>
  <c r="BV16"/>
  <c r="CJ16"/>
  <c r="BJ16"/>
  <c r="AN16"/>
  <c r="T16"/>
  <c r="Q25"/>
  <c r="BO25"/>
  <c r="AO25"/>
  <c r="BS25"/>
  <c r="AU25"/>
  <c r="CM25"/>
  <c r="BM25"/>
  <c r="AM25"/>
  <c r="S25"/>
  <c r="CX13"/>
  <c r="M22"/>
  <c r="BO24"/>
  <c r="BH30"/>
  <c r="BR13"/>
  <c r="BN30"/>
  <c r="CK22"/>
  <c r="CP15"/>
  <c r="BF20"/>
  <c r="BM12"/>
  <c r="V29"/>
  <c r="CS31"/>
  <c r="G86" i="43"/>
  <c r="CL19" i="48"/>
  <c r="BW18"/>
  <c r="CY16"/>
  <c r="BF19"/>
  <c r="BB36"/>
  <c r="AO28"/>
  <c r="CG19"/>
  <c r="AD30"/>
  <c r="CZ30"/>
  <c r="AF30"/>
  <c r="BP13"/>
  <c r="CZ13"/>
  <c r="AJ13"/>
  <c r="AY22"/>
  <c r="CU22"/>
  <c r="AA22"/>
  <c r="BW13"/>
  <c r="AP32"/>
  <c r="BF15"/>
  <c r="CP30"/>
  <c r="CF30"/>
  <c r="P30"/>
  <c r="AZ13"/>
  <c r="CJ13"/>
  <c r="T13"/>
  <c r="CC22"/>
  <c r="CE22"/>
  <c r="K22"/>
  <c r="AM13"/>
  <c r="P32"/>
  <c r="AS24"/>
  <c r="CU14"/>
  <c r="BL30"/>
  <c r="Z30"/>
  <c r="AX30"/>
  <c r="CH13"/>
  <c r="R13"/>
  <c r="BB13"/>
  <c r="U22"/>
  <c r="AO22"/>
  <c r="AW22"/>
  <c r="BY13"/>
  <c r="CD32"/>
  <c r="V15"/>
  <c r="BW15"/>
  <c r="CC16"/>
  <c r="BQ16"/>
  <c r="BT36"/>
  <c r="CF36"/>
  <c r="BD19"/>
  <c r="X19"/>
  <c r="CM28"/>
  <c r="AS19"/>
  <c r="AS18"/>
  <c r="CB37"/>
  <c r="BG16"/>
  <c r="AI16"/>
  <c r="CX36"/>
  <c r="AB36"/>
  <c r="V19"/>
  <c r="CC28"/>
  <c r="BE28"/>
  <c r="CM19"/>
  <c r="CA18"/>
  <c r="AK16"/>
  <c r="AH36"/>
  <c r="CN19"/>
  <c r="M28"/>
  <c r="S28"/>
  <c r="Y19"/>
  <c r="BE19"/>
  <c r="AM18"/>
  <c r="AG20"/>
  <c r="X38"/>
  <c r="M18"/>
  <c r="AD35"/>
  <c r="AB29"/>
  <c r="AC29"/>
  <c r="N31"/>
  <c r="Q38"/>
  <c r="CX29"/>
  <c r="AE38"/>
  <c r="CL20"/>
  <c r="BZ22"/>
  <c r="AK30"/>
  <c r="BH29"/>
  <c r="CR29"/>
  <c r="CO38"/>
  <c r="AK38"/>
  <c r="BD20"/>
  <c r="X20"/>
  <c r="CA29"/>
  <c r="CW12"/>
  <c r="W12"/>
  <c r="BN31"/>
  <c r="AD22"/>
  <c r="BQ31"/>
  <c r="AV21"/>
  <c r="AY30"/>
  <c r="R29"/>
  <c r="BR29"/>
  <c r="CS38"/>
  <c r="CQ38"/>
  <c r="V20"/>
  <c r="BY29"/>
  <c r="AA29"/>
  <c r="BG12"/>
  <c r="CX31"/>
  <c r="T31"/>
  <c r="AR22"/>
  <c r="S31"/>
  <c r="CZ21"/>
  <c r="CE30"/>
  <c r="BL29"/>
  <c r="M38"/>
  <c r="CO31"/>
  <c r="BJ21"/>
  <c r="AQ34"/>
  <c r="AQ23"/>
  <c r="AQ32"/>
  <c r="AQ25"/>
  <c r="CD30"/>
  <c r="AV30"/>
  <c r="N30"/>
  <c r="BZ30"/>
  <c r="AP30"/>
  <c r="J30"/>
  <c r="CN30"/>
  <c r="BX30"/>
  <c r="BF30"/>
  <c r="AN30"/>
  <c r="X30"/>
  <c r="CR30"/>
  <c r="CP13"/>
  <c r="BZ13"/>
  <c r="BH13"/>
  <c r="AP13"/>
  <c r="Z13"/>
  <c r="J13"/>
  <c r="CR13"/>
  <c r="CB13"/>
  <c r="BJ13"/>
  <c r="AR13"/>
  <c r="AB13"/>
  <c r="BV13"/>
  <c r="BC22"/>
  <c r="CG22"/>
  <c r="Q22"/>
  <c r="AS22"/>
  <c r="BY22"/>
  <c r="AU22"/>
  <c r="CM22"/>
  <c r="BU22"/>
  <c r="BE22"/>
  <c r="AI22"/>
  <c r="S22"/>
  <c r="AO13"/>
  <c r="BU13"/>
  <c r="N32"/>
  <c r="CB32"/>
  <c r="BJ32"/>
  <c r="BH15"/>
  <c r="CN15"/>
  <c r="X15"/>
  <c r="DA24"/>
  <c r="BE24"/>
  <c r="BY15"/>
  <c r="AM15"/>
  <c r="AN18"/>
  <c r="BT30"/>
  <c r="AL30"/>
  <c r="CX30"/>
  <c r="BP30"/>
  <c r="AH30"/>
  <c r="BV30"/>
  <c r="CJ30"/>
  <c r="BR30"/>
  <c r="BB30"/>
  <c r="AJ30"/>
  <c r="T30"/>
  <c r="AT30"/>
  <c r="CL13"/>
  <c r="BT13"/>
  <c r="BD13"/>
  <c r="AL13"/>
  <c r="V13"/>
  <c r="AT13"/>
  <c r="CN13"/>
  <c r="BX13"/>
  <c r="BF13"/>
  <c r="AN13"/>
  <c r="X13"/>
  <c r="DA22"/>
  <c r="AK22"/>
  <c r="BO22"/>
  <c r="CS22"/>
  <c r="AC22"/>
  <c r="BG22"/>
  <c r="CY22"/>
  <c r="CI22"/>
  <c r="BQ22"/>
  <c r="BA22"/>
  <c r="AE22"/>
  <c r="O22"/>
  <c r="CS13"/>
  <c r="Y13"/>
  <c r="BE13"/>
  <c r="BZ32"/>
  <c r="AJ32"/>
  <c r="AF32"/>
  <c r="AP15"/>
  <c r="BX15"/>
  <c r="BV15"/>
  <c r="AK24"/>
  <c r="W24"/>
  <c r="AO15"/>
  <c r="BO14"/>
  <c r="BG37"/>
  <c r="AU27"/>
  <c r="CL30"/>
  <c r="BD30"/>
  <c r="V30"/>
  <c r="CH30"/>
  <c r="AZ30"/>
  <c r="R30"/>
  <c r="CV30"/>
  <c r="CB30"/>
  <c r="BJ30"/>
  <c r="AR30"/>
  <c r="AB30"/>
  <c r="CT13"/>
  <c r="CD13"/>
  <c r="BL13"/>
  <c r="AV13"/>
  <c r="AD13"/>
  <c r="N13"/>
  <c r="CV13"/>
  <c r="CF13"/>
  <c r="BN13"/>
  <c r="AX13"/>
  <c r="AF13"/>
  <c r="BS22"/>
  <c r="CW22"/>
  <c r="AG22"/>
  <c r="BK22"/>
  <c r="CO22"/>
  <c r="Y22"/>
  <c r="CQ22"/>
  <c r="CA22"/>
  <c r="BI22"/>
  <c r="AM22"/>
  <c r="W22"/>
  <c r="BG13"/>
  <c r="CM13"/>
  <c r="W13"/>
  <c r="AV32"/>
  <c r="J32"/>
  <c r="CN32"/>
  <c r="BZ15"/>
  <c r="AT15"/>
  <c r="AN15"/>
  <c r="BY24"/>
  <c r="CM24"/>
  <c r="AU15"/>
  <c r="BU15"/>
  <c r="AE14"/>
  <c r="CD18"/>
  <c r="AQ22"/>
  <c r="DA13"/>
  <c r="CK13"/>
  <c r="BO13"/>
  <c r="AY13"/>
  <c r="AG13"/>
  <c r="Q13"/>
  <c r="CU13"/>
  <c r="CE13"/>
  <c r="BM13"/>
  <c r="AW13"/>
  <c r="AE13"/>
  <c r="O13"/>
  <c r="CT32"/>
  <c r="BL32"/>
  <c r="AD32"/>
  <c r="CP32"/>
  <c r="BH32"/>
  <c r="Z32"/>
  <c r="CV32"/>
  <c r="BB32"/>
  <c r="X32"/>
  <c r="CZ32"/>
  <c r="BX32"/>
  <c r="AX32"/>
  <c r="CX15"/>
  <c r="CH15"/>
  <c r="BP15"/>
  <c r="AZ15"/>
  <c r="AH15"/>
  <c r="N15"/>
  <c r="CV15"/>
  <c r="CF15"/>
  <c r="BN15"/>
  <c r="AX15"/>
  <c r="AF15"/>
  <c r="P15"/>
  <c r="CC24"/>
  <c r="M24"/>
  <c r="AO24"/>
  <c r="BS24"/>
  <c r="CW24"/>
  <c r="AU24"/>
  <c r="BU24"/>
  <c r="AM24"/>
  <c r="BW24"/>
  <c r="CO15"/>
  <c r="BG15"/>
  <c r="Y15"/>
  <c r="CM15"/>
  <c r="BE15"/>
  <c r="W15"/>
  <c r="CW14"/>
  <c r="AG14"/>
  <c r="BM14"/>
  <c r="CP21"/>
  <c r="BV18"/>
  <c r="AO27"/>
  <c r="AQ27"/>
  <c r="AD15"/>
  <c r="AD23"/>
  <c r="CW13"/>
  <c r="CC13"/>
  <c r="BK13"/>
  <c r="AS13"/>
  <c r="AC13"/>
  <c r="M13"/>
  <c r="CQ13"/>
  <c r="CA13"/>
  <c r="BI13"/>
  <c r="AQ13"/>
  <c r="AA13"/>
  <c r="K13"/>
  <c r="CL32"/>
  <c r="BD32"/>
  <c r="V32"/>
  <c r="CH32"/>
  <c r="AZ32"/>
  <c r="R32"/>
  <c r="CJ32"/>
  <c r="AR32"/>
  <c r="T32"/>
  <c r="CR32"/>
  <c r="BR32"/>
  <c r="AN32"/>
  <c r="CT15"/>
  <c r="CD15"/>
  <c r="BL15"/>
  <c r="AV15"/>
  <c r="Z15"/>
  <c r="J15"/>
  <c r="CR15"/>
  <c r="CB15"/>
  <c r="BJ15"/>
  <c r="AR15"/>
  <c r="AB15"/>
  <c r="L15"/>
  <c r="BK24"/>
  <c r="CO24"/>
  <c r="Y24"/>
  <c r="BC24"/>
  <c r="CG24"/>
  <c r="CU24"/>
  <c r="BM24"/>
  <c r="AE24"/>
  <c r="CG15"/>
  <c r="AY15"/>
  <c r="Q15"/>
  <c r="CE15"/>
  <c r="AW15"/>
  <c r="O15"/>
  <c r="CG14"/>
  <c r="Q14"/>
  <c r="AW14"/>
  <c r="BX18"/>
  <c r="BS27"/>
  <c r="K27"/>
  <c r="AU13"/>
  <c r="CO13"/>
  <c r="BS13"/>
  <c r="BC13"/>
  <c r="AK13"/>
  <c r="U13"/>
  <c r="CY13"/>
  <c r="CI13"/>
  <c r="BQ13"/>
  <c r="BA13"/>
  <c r="AI13"/>
  <c r="BT32"/>
  <c r="AL32"/>
  <c r="CX32"/>
  <c r="BP32"/>
  <c r="AH32"/>
  <c r="BV32"/>
  <c r="BN32"/>
  <c r="AB32"/>
  <c r="L32"/>
  <c r="CF32"/>
  <c r="BF32"/>
  <c r="CL15"/>
  <c r="BT15"/>
  <c r="BD15"/>
  <c r="AL15"/>
  <c r="R15"/>
  <c r="CZ15"/>
  <c r="CJ15"/>
  <c r="BR15"/>
  <c r="BB15"/>
  <c r="AJ15"/>
  <c r="CS24"/>
  <c r="AC24"/>
  <c r="BG24"/>
  <c r="CK24"/>
  <c r="U24"/>
  <c r="AG24"/>
  <c r="CE24"/>
  <c r="AW24"/>
  <c r="CW15"/>
  <c r="BO15"/>
  <c r="AG15"/>
  <c r="CU15"/>
  <c r="BM15"/>
  <c r="AY14"/>
  <c r="CE14"/>
  <c r="O14"/>
  <c r="AV18"/>
  <c r="AT18"/>
  <c r="CA27"/>
  <c r="CG13"/>
  <c r="BH37"/>
  <c r="R28"/>
  <c r="BA37"/>
  <c r="CT18"/>
  <c r="BL18"/>
  <c r="V18"/>
  <c r="CN18"/>
  <c r="BF18"/>
  <c r="X18"/>
  <c r="BY27"/>
  <c r="DA27"/>
  <c r="AK27"/>
  <c r="CQ27"/>
  <c r="BI27"/>
  <c r="AA27"/>
  <c r="K36"/>
  <c r="X27"/>
  <c r="J27"/>
  <c r="AL27"/>
  <c r="CN27"/>
  <c r="BZ27"/>
  <c r="BF27"/>
  <c r="O21"/>
  <c r="BA21"/>
  <c r="AK21"/>
  <c r="Q21"/>
  <c r="BQ21"/>
  <c r="BY21"/>
  <c r="S21"/>
  <c r="CY21"/>
  <c r="CG21"/>
  <c r="L12"/>
  <c r="AX12"/>
  <c r="N12"/>
  <c r="CD12"/>
  <c r="AF12"/>
  <c r="AD12"/>
  <c r="CF12"/>
  <c r="BL12"/>
  <c r="BW30"/>
  <c r="W30"/>
  <c r="AM30"/>
  <c r="BE30"/>
  <c r="BU30"/>
  <c r="CM30"/>
  <c r="AU30"/>
  <c r="AO30"/>
  <c r="BY30"/>
  <c r="M30"/>
  <c r="AS30"/>
  <c r="CC30"/>
  <c r="S30"/>
  <c r="AQ30"/>
  <c r="BM30"/>
  <c r="CI30"/>
  <c r="Q30"/>
  <c r="BG30"/>
  <c r="CW30"/>
  <c r="BC30"/>
  <c r="CS30"/>
  <c r="K30"/>
  <c r="AE30"/>
  <c r="BA30"/>
  <c r="CA30"/>
  <c r="CU30"/>
  <c r="AG30"/>
  <c r="CG30"/>
  <c r="AC30"/>
  <c r="BS30"/>
  <c r="BV21"/>
  <c r="X21"/>
  <c r="AN21"/>
  <c r="BF21"/>
  <c r="BX21"/>
  <c r="CN21"/>
  <c r="AT21"/>
  <c r="V21"/>
  <c r="AL21"/>
  <c r="BD21"/>
  <c r="BT21"/>
  <c r="CL21"/>
  <c r="T21"/>
  <c r="AR21"/>
  <c r="BN21"/>
  <c r="CJ21"/>
  <c r="J21"/>
  <c r="AD21"/>
  <c r="AZ21"/>
  <c r="BZ21"/>
  <c r="CT21"/>
  <c r="L21"/>
  <c r="AF21"/>
  <c r="BB21"/>
  <c r="CB21"/>
  <c r="CV21"/>
  <c r="R21"/>
  <c r="AP21"/>
  <c r="BL21"/>
  <c r="CH21"/>
  <c r="W31"/>
  <c r="AM31"/>
  <c r="BI31"/>
  <c r="CA31"/>
  <c r="CQ31"/>
  <c r="AU31"/>
  <c r="AK31"/>
  <c r="BS31"/>
  <c r="DA31"/>
  <c r="AO31"/>
  <c r="BY31"/>
  <c r="O31"/>
  <c r="AI31"/>
  <c r="BM31"/>
  <c r="CI31"/>
  <c r="BW31"/>
  <c r="AS31"/>
  <c r="CK31"/>
  <c r="AG31"/>
  <c r="CG31"/>
  <c r="AA31"/>
  <c r="BA31"/>
  <c r="BU31"/>
  <c r="CU31"/>
  <c r="U31"/>
  <c r="BK31"/>
  <c r="Q31"/>
  <c r="BG31"/>
  <c r="CW31"/>
  <c r="AT22"/>
  <c r="X22"/>
  <c r="AN22"/>
  <c r="BF22"/>
  <c r="BX22"/>
  <c r="CN22"/>
  <c r="BV22"/>
  <c r="V22"/>
  <c r="AL22"/>
  <c r="BD22"/>
  <c r="BT22"/>
  <c r="CL22"/>
  <c r="P22"/>
  <c r="AJ22"/>
  <c r="BJ22"/>
  <c r="CF22"/>
  <c r="CZ22"/>
  <c r="Z22"/>
  <c r="AV22"/>
  <c r="BP22"/>
  <c r="CP22"/>
  <c r="AB22"/>
  <c r="AX22"/>
  <c r="BR22"/>
  <c r="CR22"/>
  <c r="N22"/>
  <c r="AH22"/>
  <c r="BH22"/>
  <c r="CD22"/>
  <c r="CX22"/>
  <c r="BV31"/>
  <c r="X31"/>
  <c r="AN31"/>
  <c r="BF31"/>
  <c r="BX31"/>
  <c r="CN31"/>
  <c r="AT31"/>
  <c r="AV31"/>
  <c r="CD31"/>
  <c r="R31"/>
  <c r="AZ31"/>
  <c r="CH31"/>
  <c r="P31"/>
  <c r="AJ31"/>
  <c r="BJ31"/>
  <c r="CF31"/>
  <c r="CZ31"/>
  <c r="BD31"/>
  <c r="CT31"/>
  <c r="AP31"/>
  <c r="CP31"/>
  <c r="AB31"/>
  <c r="AX31"/>
  <c r="BR31"/>
  <c r="CR31"/>
  <c r="V31"/>
  <c r="BT31"/>
  <c r="Z31"/>
  <c r="BP31"/>
  <c r="S12"/>
  <c r="AI12"/>
  <c r="BA12"/>
  <c r="BQ12"/>
  <c r="CI12"/>
  <c r="CY12"/>
  <c r="U12"/>
  <c r="AK12"/>
  <c r="BC12"/>
  <c r="BS12"/>
  <c r="CK12"/>
  <c r="DA12"/>
  <c r="BW12"/>
  <c r="AA12"/>
  <c r="AW12"/>
  <c r="BU12"/>
  <c r="CQ12"/>
  <c r="Q12"/>
  <c r="AO12"/>
  <c r="BK12"/>
  <c r="CG12"/>
  <c r="O12"/>
  <c r="AM12"/>
  <c r="BI12"/>
  <c r="CE12"/>
  <c r="AU12"/>
  <c r="AC12"/>
  <c r="AY12"/>
  <c r="BY12"/>
  <c r="CS12"/>
  <c r="O29"/>
  <c r="AE29"/>
  <c r="BA29"/>
  <c r="BQ29"/>
  <c r="CI29"/>
  <c r="CY29"/>
  <c r="U29"/>
  <c r="BC29"/>
  <c r="W29"/>
  <c r="AW29"/>
  <c r="BU29"/>
  <c r="CQ29"/>
  <c r="M29"/>
  <c r="BK29"/>
  <c r="CS29"/>
  <c r="AG29"/>
  <c r="BO29"/>
  <c r="CW29"/>
  <c r="K29"/>
  <c r="AI29"/>
  <c r="BI29"/>
  <c r="CE29"/>
  <c r="BW29"/>
  <c r="AK29"/>
  <c r="CC29"/>
  <c r="Q29"/>
  <c r="AY29"/>
  <c r="CG29"/>
  <c r="T20"/>
  <c r="AJ20"/>
  <c r="BB20"/>
  <c r="BR20"/>
  <c r="CJ20"/>
  <c r="CZ20"/>
  <c r="R20"/>
  <c r="AH20"/>
  <c r="AZ20"/>
  <c r="BP20"/>
  <c r="CH20"/>
  <c r="CX20"/>
  <c r="L20"/>
  <c r="AB20"/>
  <c r="AR20"/>
  <c r="BJ20"/>
  <c r="CB20"/>
  <c r="CR20"/>
  <c r="J20"/>
  <c r="Z20"/>
  <c r="AP20"/>
  <c r="BH20"/>
  <c r="BZ20"/>
  <c r="CP20"/>
  <c r="S38"/>
  <c r="AI38"/>
  <c r="BE38"/>
  <c r="BU38"/>
  <c r="CM38"/>
  <c r="AU38"/>
  <c r="BS38"/>
  <c r="AG38"/>
  <c r="CW38"/>
  <c r="BK38"/>
  <c r="AO38"/>
  <c r="K38"/>
  <c r="AA38"/>
  <c r="AW38"/>
  <c r="BM38"/>
  <c r="BV29"/>
  <c r="X29"/>
  <c r="AN29"/>
  <c r="BF29"/>
  <c r="BX29"/>
  <c r="CN29"/>
  <c r="AT29"/>
  <c r="AL29"/>
  <c r="BT29"/>
  <c r="J29"/>
  <c r="AP29"/>
  <c r="BZ29"/>
  <c r="P13"/>
  <c r="CP29"/>
  <c r="AZ29"/>
  <c r="CT29"/>
  <c r="BD29"/>
  <c r="N29"/>
  <c r="CJ29"/>
  <c r="BN29"/>
  <c r="AR29"/>
  <c r="T29"/>
  <c r="BY38"/>
  <c r="CC38"/>
  <c r="CG38"/>
  <c r="DA38"/>
  <c r="U38"/>
  <c r="CI38"/>
  <c r="BI38"/>
  <c r="W38"/>
  <c r="CD20"/>
  <c r="AV20"/>
  <c r="N20"/>
  <c r="CF20"/>
  <c r="AX20"/>
  <c r="P20"/>
  <c r="BG29"/>
  <c r="CK29"/>
  <c r="AU29"/>
  <c r="BM29"/>
  <c r="S29"/>
  <c r="CO12"/>
  <c r="AS12"/>
  <c r="CU12"/>
  <c r="BE12"/>
  <c r="K12"/>
  <c r="BZ31"/>
  <c r="CL31"/>
  <c r="CV31"/>
  <c r="BB31"/>
  <c r="L31"/>
  <c r="BL22"/>
  <c r="R22"/>
  <c r="CB22"/>
  <c r="AF22"/>
  <c r="BO31"/>
  <c r="CC31"/>
  <c r="CY31"/>
  <c r="BE31"/>
  <c r="K31"/>
  <c r="CD21"/>
  <c r="AH21"/>
  <c r="CR21"/>
  <c r="AX21"/>
  <c r="DA30"/>
  <c r="U30"/>
  <c r="Y30"/>
  <c r="BQ30"/>
  <c r="AA30"/>
  <c r="CT12"/>
  <c r="P12"/>
  <c r="AI21"/>
  <c r="CH29"/>
  <c r="AH29"/>
  <c r="CL29"/>
  <c r="AV29"/>
  <c r="CZ29"/>
  <c r="CF29"/>
  <c r="BJ29"/>
  <c r="AJ29"/>
  <c r="P29"/>
  <c r="BG38"/>
  <c r="AS38"/>
  <c r="BO38"/>
  <c r="CK38"/>
  <c r="CY38"/>
  <c r="CE38"/>
  <c r="BA38"/>
  <c r="O38"/>
  <c r="BT20"/>
  <c r="AL20"/>
  <c r="BV20"/>
  <c r="BX20"/>
  <c r="AN20"/>
  <c r="AT20"/>
  <c r="AO29"/>
  <c r="BS29"/>
  <c r="CU29"/>
  <c r="BE29"/>
  <c r="CC12"/>
  <c r="AG12"/>
  <c r="CM12"/>
  <c r="AQ12"/>
  <c r="BH31"/>
  <c r="BL31"/>
  <c r="CJ31"/>
  <c r="AR31"/>
  <c r="CT22"/>
  <c r="AZ22"/>
  <c r="J22"/>
  <c r="BN22"/>
  <c r="T22"/>
  <c r="AY31"/>
  <c r="BC31"/>
  <c r="CM31"/>
  <c r="AW31"/>
  <c r="BP21"/>
  <c r="Z21"/>
  <c r="CF21"/>
  <c r="AJ21"/>
  <c r="CK30"/>
  <c r="CO30"/>
  <c r="CY30"/>
  <c r="BI30"/>
  <c r="O30"/>
  <c r="AV12"/>
  <c r="AS21"/>
  <c r="O17"/>
  <c r="AQ31"/>
  <c r="BP29"/>
  <c r="Z29"/>
  <c r="CD29"/>
  <c r="AD29"/>
  <c r="CV29"/>
  <c r="CB29"/>
  <c r="BB29"/>
  <c r="AF29"/>
  <c r="L29"/>
  <c r="Y38"/>
  <c r="AC38"/>
  <c r="AY38"/>
  <c r="BC38"/>
  <c r="CU38"/>
  <c r="CA38"/>
  <c r="AM38"/>
  <c r="BW38"/>
  <c r="CT20"/>
  <c r="BL20"/>
  <c r="AD20"/>
  <c r="CV20"/>
  <c r="BN20"/>
  <c r="AF20"/>
  <c r="CO29"/>
  <c r="Y29"/>
  <c r="AS29"/>
  <c r="CM29"/>
  <c r="AM29"/>
  <c r="BO12"/>
  <c r="Y12"/>
  <c r="CA12"/>
  <c r="AE12"/>
  <c r="AH31"/>
  <c r="AL31"/>
  <c r="CB31"/>
  <c r="AF31"/>
  <c r="CH22"/>
  <c r="AP22"/>
  <c r="CV22"/>
  <c r="BB22"/>
  <c r="L22"/>
  <c r="Y31"/>
  <c r="AC31"/>
  <c r="CE31"/>
  <c r="AE31"/>
  <c r="CX21"/>
  <c r="BH21"/>
  <c r="N21"/>
  <c r="BR21"/>
  <c r="AB21"/>
  <c r="BK30"/>
  <c r="BO30"/>
  <c r="CQ30"/>
  <c r="AW30"/>
  <c r="CV12"/>
  <c r="DA21"/>
  <c r="AQ29"/>
  <c r="AQ38"/>
  <c r="CG36"/>
  <c r="CO16"/>
  <c r="BS16"/>
  <c r="AS16"/>
  <c r="U16"/>
  <c r="CI16"/>
  <c r="BA16"/>
  <c r="S16"/>
  <c r="AL36"/>
  <c r="BP36"/>
  <c r="BV36"/>
  <c r="CZ36"/>
  <c r="BF36"/>
  <c r="AT36"/>
  <c r="BT19"/>
  <c r="AL19"/>
  <c r="AT19"/>
  <c r="BX19"/>
  <c r="AN19"/>
  <c r="BV19"/>
  <c r="AS28"/>
  <c r="BY28"/>
  <c r="AU28"/>
  <c r="BU28"/>
  <c r="AI28"/>
  <c r="CO19"/>
  <c r="BC19"/>
  <c r="Q19"/>
  <c r="BW19"/>
  <c r="BU19"/>
  <c r="AM19"/>
  <c r="BS18"/>
  <c r="AG18"/>
  <c r="BG18"/>
  <c r="CQ18"/>
  <c r="BI18"/>
  <c r="W18"/>
  <c r="BL38"/>
  <c r="BZ38"/>
  <c r="AL37"/>
  <c r="BD28"/>
  <c r="AX28"/>
  <c r="U37"/>
  <c r="M20"/>
  <c r="AW20"/>
  <c r="DA16"/>
  <c r="CK16"/>
  <c r="BK16"/>
  <c r="AO16"/>
  <c r="AU16"/>
  <c r="BU16"/>
  <c r="AM16"/>
  <c r="CT36"/>
  <c r="AD36"/>
  <c r="BH36"/>
  <c r="CR36"/>
  <c r="CV36"/>
  <c r="CX19"/>
  <c r="BP19"/>
  <c r="AH19"/>
  <c r="CZ19"/>
  <c r="BR19"/>
  <c r="DA28"/>
  <c r="AK28"/>
  <c r="BO28"/>
  <c r="CY28"/>
  <c r="BQ28"/>
  <c r="BY19"/>
  <c r="AK19"/>
  <c r="CS19"/>
  <c r="CY19"/>
  <c r="BQ19"/>
  <c r="U18"/>
  <c r="BK18"/>
  <c r="Q18"/>
  <c r="CE18"/>
  <c r="AW18"/>
  <c r="AD38"/>
  <c r="V28"/>
  <c r="AO20"/>
  <c r="L33"/>
  <c r="CL33"/>
  <c r="BW20"/>
  <c r="BM20"/>
  <c r="CW20"/>
  <c r="CC20"/>
  <c r="O20"/>
  <c r="CE20"/>
  <c r="BS20"/>
  <c r="K37"/>
  <c r="BQ37"/>
  <c r="BC37"/>
  <c r="CO37"/>
  <c r="S37"/>
  <c r="CI37"/>
  <c r="CK37"/>
  <c r="AT28"/>
  <c r="BN28"/>
  <c r="AZ28"/>
  <c r="CL28"/>
  <c r="P28"/>
  <c r="CF28"/>
  <c r="CH28"/>
  <c r="P37"/>
  <c r="L37"/>
  <c r="BT37"/>
  <c r="CP37"/>
  <c r="AF37"/>
  <c r="BB37"/>
  <c r="CT37"/>
  <c r="AT38"/>
  <c r="L38"/>
  <c r="BF38"/>
  <c r="CT38"/>
  <c r="J38"/>
  <c r="AR38"/>
  <c r="CN38"/>
  <c r="O18"/>
  <c r="AE18"/>
  <c r="BA18"/>
  <c r="BQ18"/>
  <c r="CI18"/>
  <c r="CY18"/>
  <c r="Y18"/>
  <c r="CO18"/>
  <c r="CC18"/>
  <c r="BO18"/>
  <c r="AK18"/>
  <c r="DA18"/>
  <c r="S18"/>
  <c r="AI18"/>
  <c r="BE18"/>
  <c r="BU18"/>
  <c r="CM18"/>
  <c r="AU18"/>
  <c r="AO18"/>
  <c r="AC18"/>
  <c r="CS18"/>
  <c r="CG18"/>
  <c r="BC18"/>
  <c r="K19"/>
  <c r="AA19"/>
  <c r="AQ19"/>
  <c r="BI19"/>
  <c r="CA19"/>
  <c r="CQ19"/>
  <c r="AU19"/>
  <c r="BK19"/>
  <c r="AG19"/>
  <c r="CW19"/>
  <c r="BS19"/>
  <c r="AO19"/>
  <c r="O19"/>
  <c r="AE19"/>
  <c r="AW19"/>
  <c r="BM19"/>
  <c r="CE19"/>
  <c r="CU19"/>
  <c r="M19"/>
  <c r="CC19"/>
  <c r="AY19"/>
  <c r="U19"/>
  <c r="CK19"/>
  <c r="BG19"/>
  <c r="BW28"/>
  <c r="W28"/>
  <c r="AM28"/>
  <c r="BI28"/>
  <c r="CA28"/>
  <c r="CQ28"/>
  <c r="Q28"/>
  <c r="AY28"/>
  <c r="CG28"/>
  <c r="U28"/>
  <c r="BC28"/>
  <c r="CK28"/>
  <c r="K28"/>
  <c r="AA28"/>
  <c r="AW28"/>
  <c r="BM28"/>
  <c r="CE28"/>
  <c r="CU28"/>
  <c r="Y28"/>
  <c r="BG28"/>
  <c r="CO28"/>
  <c r="AC28"/>
  <c r="BK28"/>
  <c r="CS28"/>
  <c r="L19"/>
  <c r="AB19"/>
  <c r="AR19"/>
  <c r="BJ19"/>
  <c r="CB19"/>
  <c r="CR19"/>
  <c r="J19"/>
  <c r="Z19"/>
  <c r="AP19"/>
  <c r="BH19"/>
  <c r="BZ19"/>
  <c r="CP19"/>
  <c r="P19"/>
  <c r="AF19"/>
  <c r="AX19"/>
  <c r="BN19"/>
  <c r="CF19"/>
  <c r="CV19"/>
  <c r="N19"/>
  <c r="AD19"/>
  <c r="AV19"/>
  <c r="BL19"/>
  <c r="CD19"/>
  <c r="CT19"/>
  <c r="L36"/>
  <c r="AJ36"/>
  <c r="BJ36"/>
  <c r="CJ36"/>
  <c r="T36"/>
  <c r="BN36"/>
  <c r="J36"/>
  <c r="AP36"/>
  <c r="BZ36"/>
  <c r="N36"/>
  <c r="AV36"/>
  <c r="CD36"/>
  <c r="P36"/>
  <c r="AN36"/>
  <c r="BR36"/>
  <c r="CN36"/>
  <c r="AF36"/>
  <c r="CB36"/>
  <c r="R36"/>
  <c r="AZ36"/>
  <c r="CH36"/>
  <c r="V36"/>
  <c r="BD36"/>
  <c r="CL36"/>
  <c r="K16"/>
  <c r="AA16"/>
  <c r="AQ16"/>
  <c r="BI16"/>
  <c r="CA16"/>
  <c r="CQ16"/>
  <c r="M16"/>
  <c r="AC16"/>
  <c r="O16"/>
  <c r="AE16"/>
  <c r="AW16"/>
  <c r="BM16"/>
  <c r="CE16"/>
  <c r="CU16"/>
  <c r="Q16"/>
  <c r="AG16"/>
  <c r="AY16"/>
  <c r="BO16"/>
  <c r="CG16"/>
  <c r="CS16"/>
  <c r="BY16"/>
  <c r="BC16"/>
  <c r="Y16"/>
  <c r="CM16"/>
  <c r="BE16"/>
  <c r="W16"/>
  <c r="BL36"/>
  <c r="CP36"/>
  <c r="Z36"/>
  <c r="AR36"/>
  <c r="BX36"/>
  <c r="X36"/>
  <c r="CH19"/>
  <c r="AZ19"/>
  <c r="R19"/>
  <c r="CJ19"/>
  <c r="BB19"/>
  <c r="T19"/>
  <c r="BS28"/>
  <c r="CW28"/>
  <c r="AG28"/>
  <c r="CI28"/>
  <c r="BA28"/>
  <c r="O28"/>
  <c r="DA19"/>
  <c r="BO19"/>
  <c r="AC19"/>
  <c r="CI19"/>
  <c r="BA19"/>
  <c r="S19"/>
  <c r="CK18"/>
  <c r="AY18"/>
  <c r="BY18"/>
  <c r="CU18"/>
  <c r="BM18"/>
  <c r="AA18"/>
  <c r="CB38"/>
  <c r="Z37"/>
  <c r="BF37"/>
  <c r="CV28"/>
  <c r="Y37"/>
  <c r="AI37"/>
  <c r="CU20"/>
  <c r="AQ18"/>
  <c r="BJ17"/>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N52" s="1"/>
  <c r="V11"/>
  <c r="V52" s="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H52" s="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A52" s="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87" i="60"/>
  <c r="A16" i="55"/>
  <c r="B52"/>
  <c r="A51"/>
  <c r="N72" i="60"/>
  <c r="N139"/>
  <c r="N219"/>
  <c r="N191"/>
  <c r="N112"/>
  <c r="N270"/>
  <c r="N163"/>
  <c r="I16" i="14"/>
  <c r="G52" i="60"/>
  <c r="N19" i="63"/>
  <c r="A11" i="50" a="1"/>
  <c r="A11" s="1"/>
  <c r="I11" s="1"/>
  <c r="A50" i="48" a="1"/>
  <c r="A50" s="1"/>
  <c r="I50" s="1"/>
  <c r="A49" a="1"/>
  <c r="A49" s="1"/>
  <c r="I49" s="1"/>
  <c r="G106" i="42"/>
  <c r="I1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I98" s="1"/>
  <c r="I99" s="1"/>
  <c r="I100" s="1"/>
  <c r="I101" s="1"/>
  <c r="I102" s="1"/>
  <c r="I103" s="1"/>
  <c r="E121"/>
  <c r="A11" i="51" a="1"/>
  <c r="A11" s="1"/>
  <c r="I11" s="1"/>
  <c r="H106" i="42"/>
  <c r="L32" i="57"/>
  <c r="K20" i="52" l="1"/>
  <c r="L20"/>
  <c r="M20"/>
  <c r="M21" s="1"/>
  <c r="N20"/>
  <c r="N21" s="1"/>
  <c r="I17" i="14"/>
  <c r="O20" i="63"/>
  <c r="DA49" i="49"/>
  <c r="CT49"/>
  <c r="DA47"/>
  <c r="CD47"/>
  <c r="CD52" s="1"/>
  <c r="CF48"/>
  <c r="CF52" s="1"/>
  <c r="DA48"/>
  <c r="DA46"/>
  <c r="CH46"/>
  <c r="CZ50"/>
  <c r="CW50"/>
  <c r="CZ42"/>
  <c r="CO42"/>
  <c r="CO52" s="1"/>
  <c r="CM41"/>
  <c r="CM52" s="1"/>
  <c r="CZ41"/>
  <c r="CZ44"/>
  <c r="CS44"/>
  <c r="CS52" s="1"/>
  <c r="CQ43"/>
  <c r="CQ52" s="1"/>
  <c r="CZ43"/>
  <c r="DA46" i="51"/>
  <c r="CH46"/>
  <c r="CH52" s="1"/>
  <c r="CM41"/>
  <c r="CM52" s="1"/>
  <c r="CZ41"/>
  <c r="CZ42"/>
  <c r="CO42"/>
  <c r="CO52" s="1"/>
  <c r="CQ43"/>
  <c r="CQ52" s="1"/>
  <c r="CZ43"/>
  <c r="CZ44"/>
  <c r="CS44"/>
  <c r="CS52" s="1"/>
  <c r="S40"/>
  <c r="S52" s="1"/>
  <c r="AX40"/>
  <c r="AX52" s="1"/>
  <c r="CZ50"/>
  <c r="CW50"/>
  <c r="CW52" s="1"/>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3" i="55"/>
  <c r="A52"/>
  <c r="A17"/>
  <c r="P47" i="60"/>
  <c r="N52"/>
  <c r="N20" i="63"/>
  <c r="L21" s="1"/>
  <c r="AT52" i="51"/>
  <c r="T52" i="49"/>
  <c r="AQ52"/>
  <c r="AN52" i="50"/>
  <c r="AS52"/>
  <c r="AW52"/>
  <c r="AW52" i="51"/>
  <c r="AS52"/>
  <c r="AN52"/>
  <c r="AQ52" i="50"/>
  <c r="T52"/>
  <c r="AS52" i="49"/>
  <c r="AT52" i="50"/>
  <c r="T52" i="51"/>
  <c r="AQ52"/>
  <c r="I107" i="42"/>
  <c r="L21" i="52" l="1"/>
  <c r="L22" s="1"/>
  <c r="K21"/>
  <c r="K22" s="1"/>
  <c r="BG53" i="48"/>
  <c r="BG10" i="49" s="1"/>
  <c r="O21" i="63"/>
  <c r="DA52" i="51"/>
  <c r="CZ52"/>
  <c r="DA52" i="50"/>
  <c r="CZ52"/>
  <c r="M21" i="63"/>
  <c r="CZ52" i="49"/>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4"/>
  <c r="A54" s="1"/>
  <c r="A53"/>
  <c r="AZ52" i="50"/>
  <c r="AN52" i="49"/>
  <c r="AZ52" i="51"/>
  <c r="BA52"/>
  <c r="AW52" i="49"/>
  <c r="AZ52"/>
  <c r="BA52" i="50"/>
  <c r="AT52" i="49"/>
  <c r="M22" i="52" l="1"/>
  <c r="M23" s="1"/>
  <c r="N22"/>
  <c r="N23" s="1"/>
  <c r="O22" i="63"/>
  <c r="M22"/>
  <c r="BQ10" i="49"/>
  <c r="AC10"/>
  <c r="BU10"/>
  <c r="AD10"/>
  <c r="AE10"/>
  <c r="BJ10"/>
  <c r="AJ10"/>
  <c r="BW10"/>
  <c r="CA10"/>
  <c r="BB10"/>
  <c r="BL10"/>
  <c r="BD10"/>
  <c r="AT10"/>
  <c r="BV10"/>
  <c r="CC10"/>
  <c r="BT10"/>
  <c r="BP10"/>
  <c r="BP53" s="1"/>
  <c r="AA10"/>
  <c r="AM10"/>
  <c r="X10"/>
  <c r="BK10"/>
  <c r="BZ10"/>
  <c r="BX10"/>
  <c r="AZ10"/>
  <c r="BA10"/>
  <c r="BC10"/>
  <c r="CB10"/>
  <c r="CB53" s="1"/>
  <c r="AN10"/>
  <c r="BI10"/>
  <c r="CX10"/>
  <c r="Z10"/>
  <c r="V10"/>
  <c r="AH10"/>
  <c r="AS10"/>
  <c r="AO10"/>
  <c r="AB10"/>
  <c r="CJ10"/>
  <c r="BO10"/>
  <c r="BE10"/>
  <c r="CK10"/>
  <c r="BM10"/>
  <c r="Y10"/>
  <c r="AR10"/>
  <c r="BH10"/>
  <c r="AP10"/>
  <c r="AI10"/>
  <c r="AG10"/>
  <c r="AL10"/>
  <c r="AK10"/>
  <c r="W10"/>
  <c r="AF10"/>
  <c r="AF53" s="1"/>
  <c r="CY10"/>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L23" i="52" l="1"/>
  <c r="L24" s="1"/>
  <c r="K23"/>
  <c r="K24" s="1"/>
  <c r="AK53" i="49"/>
  <c r="BC53"/>
  <c r="BC10" i="50" s="1"/>
  <c r="CY53" i="49"/>
  <c r="CY10" i="50" s="1"/>
  <c r="AB53" i="49"/>
  <c r="AB10" i="50" s="1"/>
  <c r="M23" i="63"/>
  <c r="O2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c r="AK10"/>
  <c r="BF10"/>
  <c r="CB10"/>
  <c r="BN10"/>
  <c r="AF10"/>
  <c r="BV53" i="49"/>
  <c r="Z53"/>
  <c r="BK53"/>
  <c r="AC53"/>
  <c r="AE53"/>
  <c r="BU53"/>
  <c r="CW10"/>
  <c r="AX10"/>
  <c r="CH10"/>
  <c r="CG10"/>
  <c r="CV10"/>
  <c r="CM10"/>
  <c r="CE10"/>
  <c r="CF10"/>
  <c r="CL10"/>
  <c r="CD10"/>
  <c r="CU10"/>
  <c r="CI10"/>
  <c r="CT10"/>
  <c r="AY10"/>
  <c r="AY53" s="1"/>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M24" i="52" l="1"/>
  <c r="N24"/>
  <c r="CV53" i="49"/>
  <c r="CV10" i="50" s="1"/>
  <c r="J21" i="14"/>
  <c r="J22" s="1"/>
  <c r="CF53" i="49"/>
  <c r="CF10" i="50" s="1"/>
  <c r="O24" i="63"/>
  <c r="M24"/>
  <c r="AI53" i="50"/>
  <c r="AI10" i="51" s="1"/>
  <c r="AX53" i="49"/>
  <c r="AX10" i="50" s="1"/>
  <c r="AH53"/>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BX10"/>
  <c r="BX53" s="1"/>
  <c r="BX10" i="51" s="1"/>
  <c r="BW10" i="50"/>
  <c r="BO10"/>
  <c r="BN53" s="1"/>
  <c r="BN10" i="51" s="1"/>
  <c r="BU10" i="50"/>
  <c r="BU53" s="1"/>
  <c r="BU10" i="51" s="1"/>
  <c r="BK10" i="50"/>
  <c r="BQ10"/>
  <c r="BP53" s="1"/>
  <c r="BP10" i="51" s="1"/>
  <c r="BI10" i="50"/>
  <c r="BI53" s="1"/>
  <c r="BI10" i="51" s="1"/>
  <c r="BB10" i="50"/>
  <c r="BB53" s="1"/>
  <c r="BB10" i="51" s="1"/>
  <c r="AY10" i="50"/>
  <c r="Z10"/>
  <c r="AS10"/>
  <c r="AQ10"/>
  <c r="CA10"/>
  <c r="CA53" s="1"/>
  <c r="CA10" i="51" s="1"/>
  <c r="CJ10" i="50"/>
  <c r="CK53" s="1"/>
  <c r="CK10" i="51" s="1"/>
  <c r="BD10" i="50"/>
  <c r="BE53" s="1"/>
  <c r="BE10" i="51" s="1"/>
  <c r="CT53" i="49"/>
  <c r="AE10" i="50"/>
  <c r="BV10"/>
  <c r="CM53" i="49"/>
  <c r="CD53"/>
  <c r="CE53"/>
  <c r="CL53"/>
  <c r="CG53"/>
  <c r="CU53"/>
  <c r="CH53"/>
  <c r="CW53"/>
  <c r="L24" i="63"/>
  <c r="L25" s="1"/>
  <c r="BA53" i="49"/>
  <c r="AZ53"/>
  <c r="I22" i="14" l="1"/>
  <c r="I23" s="1"/>
  <c r="Y53" i="51"/>
  <c r="BY53" i="50"/>
  <c r="BY10" i="51" s="1"/>
  <c r="BX53" s="1"/>
  <c r="BT53" i="50"/>
  <c r="BT10" i="51" s="1"/>
  <c r="BT53" s="1"/>
  <c r="AI53"/>
  <c r="BK53" i="50"/>
  <c r="BK10" i="51" s="1"/>
  <c r="M25" i="63"/>
  <c r="O25"/>
  <c r="BL53" i="50"/>
  <c r="BL10" i="51" s="1"/>
  <c r="BL53" s="1"/>
  <c r="AQ53" i="50"/>
  <c r="AQ10" i="51" s="1"/>
  <c r="AP53" i="50"/>
  <c r="AP10" i="51" s="1"/>
  <c r="BC53" i="50"/>
  <c r="BC10" i="51" s="1"/>
  <c r="BC53" s="1"/>
  <c r="BQ53" i="50"/>
  <c r="BQ10" i="51" s="1"/>
  <c r="BQ53" s="1"/>
  <c r="AY53" i="50"/>
  <c r="AY10" i="51" s="1"/>
  <c r="AH53"/>
  <c r="AX53" i="50"/>
  <c r="AX10" i="51"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CH53" i="50"/>
  <c r="CH10" i="51" s="1"/>
  <c r="CH53" s="1"/>
  <c r="N25" i="63"/>
  <c r="N26" s="1"/>
  <c r="J23" i="14" l="1"/>
  <c r="J24" s="1"/>
  <c r="BY53" i="51"/>
  <c r="BZ53"/>
  <c r="BM53"/>
  <c r="BP53"/>
  <c r="BU53"/>
  <c r="AY53"/>
  <c r="AX53"/>
  <c r="O26" i="63"/>
  <c r="BK53" i="51"/>
  <c r="BN53"/>
  <c r="M26" i="63"/>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I53"/>
  <c r="CF53"/>
  <c r="CV53" i="50"/>
  <c r="CV10" i="51" s="1"/>
  <c r="CW53" i="50"/>
  <c r="CW10" i="51" s="1"/>
  <c r="CE53" i="50"/>
  <c r="CE10" i="51" s="1"/>
  <c r="CM53" i="50"/>
  <c r="CM10" i="51" s="1"/>
  <c r="CU53" i="50"/>
  <c r="CU10" i="51" s="1"/>
  <c r="L26" i="63"/>
  <c r="L27" s="1"/>
  <c r="F15" i="47"/>
  <c r="F51" s="1"/>
  <c r="I52" s="1"/>
  <c r="I24" i="14" l="1"/>
  <c r="I25" s="1"/>
  <c r="M27" i="63"/>
  <c r="O27"/>
  <c r="BA53" i="51"/>
  <c r="AZ53"/>
  <c r="CT53"/>
  <c r="CL53"/>
  <c r="CD53"/>
  <c r="CV53"/>
  <c r="CU53"/>
  <c r="CE53"/>
  <c r="CM53"/>
  <c r="CW53"/>
  <c r="N27" i="63"/>
  <c r="N28" s="1"/>
  <c r="H52" i="47"/>
  <c r="H15"/>
  <c r="I15"/>
  <c r="J25" i="14" l="1"/>
  <c r="J26" s="1"/>
  <c r="O28" i="63"/>
  <c r="M28"/>
  <c r="L28"/>
  <c r="L29" s="1"/>
  <c r="I16" i="47"/>
  <c r="H16"/>
  <c r="I26" i="14" l="1"/>
  <c r="I27" s="1"/>
  <c r="O29" i="63"/>
  <c r="M29"/>
  <c r="N29"/>
  <c r="N30" s="1"/>
  <c r="H17" i="47"/>
  <c r="I17"/>
  <c r="J27" i="14" l="1"/>
  <c r="J28" s="1"/>
  <c r="O30" i="63"/>
  <c r="M30"/>
  <c r="L30"/>
  <c r="L31" s="1"/>
  <c r="I18" i="47"/>
  <c r="H18"/>
  <c r="I28" i="14" l="1"/>
  <c r="M31" i="63"/>
  <c r="O31"/>
  <c r="N31"/>
  <c r="N32" s="1"/>
  <c r="H19" i="47"/>
  <c r="I19"/>
  <c r="I29" i="14" l="1"/>
  <c r="J29"/>
  <c r="O32" i="63"/>
  <c r="L32"/>
  <c r="L33" s="1"/>
  <c r="M32"/>
  <c r="I20" i="47"/>
  <c r="H20"/>
  <c r="M451" i="34"/>
  <c r="M33" i="63" l="1"/>
  <c r="I30" i="14"/>
  <c r="I31" s="1"/>
  <c r="J30"/>
  <c r="N33" i="63"/>
  <c r="N34" s="1"/>
  <c r="O33"/>
  <c r="O34" s="1"/>
  <c r="H21" i="47"/>
  <c r="F38" i="43"/>
  <c r="F86" s="1"/>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1" i="15" a="1"/>
  <c r="F71" s="1"/>
  <c r="M1177" i="34"/>
  <c r="F57" i="15" a="1"/>
  <c r="F57" s="1"/>
  <c r="E57" a="1"/>
  <c r="E57" s="1"/>
  <c r="J56" i="55" l="1" a="1"/>
  <c r="J56" s="1"/>
  <c r="H55" a="1"/>
  <c r="H55" s="1"/>
  <c r="H56" a="1"/>
  <c r="H56" s="1"/>
  <c r="L56" s="1"/>
  <c r="J55" a="1"/>
  <c r="J55" s="1"/>
  <c r="H57" a="1"/>
  <c r="H57" s="1"/>
  <c r="H58" a="1"/>
  <c r="H58" s="1"/>
  <c r="J57" a="1"/>
  <c r="J57" s="1"/>
  <c r="J58" a="1"/>
  <c r="J58" s="1"/>
  <c r="E27" i="12" a="1"/>
  <c r="E27" s="1"/>
  <c r="F27" a="1"/>
  <c r="F27" s="1"/>
  <c r="E15" a="1"/>
  <c r="E15" s="1"/>
  <c r="F15" a="1"/>
  <c r="F15" s="1"/>
  <c r="E18" a="1"/>
  <c r="E18" s="1"/>
  <c r="F18" a="1"/>
  <c r="F18" s="1"/>
  <c r="J31" i="14"/>
  <c r="J32" s="1"/>
  <c r="F66" i="15" a="1"/>
  <c r="F66" s="1"/>
  <c r="F14" i="12" a="1"/>
  <c r="F14" s="1"/>
  <c r="J21" i="55" a="1"/>
  <c r="J21" s="1"/>
  <c r="H21" a="1"/>
  <c r="H21" s="1"/>
  <c r="E14" i="12" a="1"/>
  <c r="E14" s="1"/>
  <c r="M34" i="63"/>
  <c r="M35" s="1"/>
  <c r="L34"/>
  <c r="L35" s="1"/>
  <c r="E66" i="15" a="1"/>
  <c r="E66" s="1"/>
  <c r="D13" i="39"/>
  <c r="J27" i="45" a="1"/>
  <c r="J27" s="1"/>
  <c r="J32" a="1"/>
  <c r="J32" s="1"/>
  <c r="L30" a="1"/>
  <c r="L30" s="1"/>
  <c r="J31" a="1"/>
  <c r="J31" s="1"/>
  <c r="L27" a="1"/>
  <c r="L27" s="1"/>
  <c r="P27" s="1"/>
  <c r="J30" a="1"/>
  <c r="J30" s="1"/>
  <c r="L31" a="1"/>
  <c r="L31" s="1"/>
  <c r="J29" a="1"/>
  <c r="J29" s="1"/>
  <c r="L29" a="1"/>
  <c r="L29" s="1"/>
  <c r="J28" a="1"/>
  <c r="J28" s="1"/>
  <c r="L28" a="1"/>
  <c r="L28" s="1"/>
  <c r="L32" a="1"/>
  <c r="L32" s="1"/>
  <c r="J15" i="62" a="1"/>
  <c r="J15" s="1"/>
  <c r="J14" a="1"/>
  <c r="J14" s="1"/>
  <c r="J13" a="1"/>
  <c r="J13" s="1"/>
  <c r="J12" a="1"/>
  <c r="J12" s="1"/>
  <c r="H15" a="1"/>
  <c r="H15" s="1"/>
  <c r="L15" s="1"/>
  <c r="H14" a="1"/>
  <c r="H14" s="1"/>
  <c r="L14" s="1"/>
  <c r="H13" a="1"/>
  <c r="H13" s="1"/>
  <c r="H12" a="1"/>
  <c r="H12" s="1"/>
  <c r="L12" s="1"/>
  <c r="E42" i="12" a="1"/>
  <c r="E42" s="1"/>
  <c r="E25" a="1"/>
  <c r="E25" s="1"/>
  <c r="F25" a="1"/>
  <c r="F25"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E31" i="12" a="1"/>
  <c r="E31" s="1"/>
  <c r="J10" i="45" a="1"/>
  <c r="J10" s="1"/>
  <c r="F26" i="12" a="1"/>
  <c r="F26" s="1"/>
  <c r="F42" a="1"/>
  <c r="F42" s="1"/>
  <c r="E43" a="1"/>
  <c r="E43" s="1"/>
  <c r="H30" i="55" a="1"/>
  <c r="H30" s="1"/>
  <c r="E11" i="12" a="1"/>
  <c r="E11" s="1"/>
  <c r="H25" i="55" a="1"/>
  <c r="H25" s="1"/>
  <c r="F6" i="12" a="1"/>
  <c r="F6" s="1"/>
  <c r="L15" i="45" a="1"/>
  <c r="L15" s="1"/>
  <c r="F41" i="12" a="1"/>
  <c r="F41" s="1"/>
  <c r="E39" a="1"/>
  <c r="E39" s="1"/>
  <c r="F33" a="1"/>
  <c r="F33" s="1"/>
  <c r="E16" a="1"/>
  <c r="E16" s="1"/>
  <c r="E40" i="15" a="1"/>
  <c r="E40" s="1"/>
  <c r="F34" i="12" a="1"/>
  <c r="F34" s="1"/>
  <c r="E35" a="1"/>
  <c r="E35" s="1"/>
  <c r="E36" a="1"/>
  <c r="E36" s="1"/>
  <c r="F29" a="1"/>
  <c r="F29" s="1"/>
  <c r="F40" a="1"/>
  <c r="F40" s="1"/>
  <c r="E12" a="1"/>
  <c r="E12" s="1"/>
  <c r="E70" i="15" a="1"/>
  <c r="E70" s="1"/>
  <c r="E41" a="1"/>
  <c r="E41" s="1"/>
  <c r="H9" i="62" a="1"/>
  <c r="H9" s="1"/>
  <c r="H40" i="55" a="1"/>
  <c r="H40" s="1"/>
  <c r="F7" i="12" a="1"/>
  <c r="F7" s="1"/>
  <c r="E49" i="15" a="1"/>
  <c r="E49" s="1"/>
  <c r="L8" i="45" a="1"/>
  <c r="L8" s="1"/>
  <c r="J24" a="1"/>
  <c r="J24" s="1"/>
  <c r="L16" a="1"/>
  <c r="L16" s="1"/>
  <c r="J11" i="62" a="1"/>
  <c r="J11" s="1"/>
  <c r="E51" i="15" a="1"/>
  <c r="E51" s="1"/>
  <c r="E13" a="1"/>
  <c r="E13" s="1"/>
  <c r="H51" i="55" a="1"/>
  <c r="H51" s="1"/>
  <c r="H11" i="62" a="1"/>
  <c r="H11" s="1"/>
  <c r="E15" i="15" a="1"/>
  <c r="E15" s="1"/>
  <c r="H19" i="62" s="1"/>
  <c r="H10" a="1"/>
  <c r="H10" s="1"/>
  <c r="E64" i="15" a="1"/>
  <c r="E64" s="1"/>
  <c r="H14" i="55" a="1"/>
  <c r="H14" s="1"/>
  <c r="H35" a="1"/>
  <c r="H35" s="1"/>
  <c r="H54" a="1"/>
  <c r="H54" s="1"/>
  <c r="J8" i="62" a="1"/>
  <c r="J8" s="1"/>
  <c r="E46" i="15" a="1"/>
  <c r="E46" s="1"/>
  <c r="H50" i="55" a="1"/>
  <c r="H50" s="1"/>
  <c r="L10" i="45" a="1"/>
  <c r="L10" s="1"/>
  <c r="L26" a="1"/>
  <c r="L26" s="1"/>
  <c r="E28" i="15" a="1"/>
  <c r="E28" s="1"/>
  <c r="F9" i="12" a="1"/>
  <c r="F9" s="1"/>
  <c r="F34" i="15" a="1"/>
  <c r="F34" s="1"/>
  <c r="E17" i="12" a="1"/>
  <c r="E17" s="1"/>
  <c r="J26" i="45" a="1"/>
  <c r="J26" s="1"/>
  <c r="J19" a="1"/>
  <c r="J19" s="1"/>
  <c r="E71" i="15" a="1"/>
  <c r="E71" s="1"/>
  <c r="I71" s="1"/>
  <c r="E32" i="12" a="1"/>
  <c r="E32" s="1"/>
  <c r="E38" a="1"/>
  <c r="E38" s="1"/>
  <c r="J6" i="45" a="1"/>
  <c r="J6" s="1"/>
  <c r="F48" i="15" a="1"/>
  <c r="F48" s="1"/>
  <c r="F51" i="12" a="1"/>
  <c r="F51" s="1"/>
  <c r="F45" a="1"/>
  <c r="F45" s="1"/>
  <c r="E45" a="1"/>
  <c r="E45" s="1"/>
  <c r="E20" a="1"/>
  <c r="E20" s="1"/>
  <c r="J18" i="45" a="1"/>
  <c r="J18" s="1"/>
  <c r="J25" a="1"/>
  <c r="J25" s="1"/>
  <c r="E36" i="15" a="1"/>
  <c r="E36" s="1"/>
  <c r="E37" s="1"/>
  <c r="J23" i="45" a="1"/>
  <c r="J23" s="1"/>
  <c r="E5" i="12" a="1"/>
  <c r="E5" s="1"/>
  <c r="F59" i="15" a="1"/>
  <c r="F59" s="1"/>
  <c r="J47" i="55" a="1"/>
  <c r="J47" s="1"/>
  <c r="E65" i="15" a="1"/>
  <c r="E65" s="1"/>
  <c r="F46" a="1"/>
  <c r="F46" s="1"/>
  <c r="L19" i="45" a="1"/>
  <c r="L19" s="1"/>
  <c r="E13" i="12" a="1"/>
  <c r="E13" s="1"/>
  <c r="E7" a="1"/>
  <c r="E7" s="1"/>
  <c r="J7" i="45" a="1"/>
  <c r="J7" s="1"/>
  <c r="L11" a="1"/>
  <c r="L11" s="1"/>
  <c r="E59" i="15" a="1"/>
  <c r="E59" s="1"/>
  <c r="J14" i="45" a="1"/>
  <c r="J14" s="1"/>
  <c r="J9" i="62" a="1"/>
  <c r="J9" s="1"/>
  <c r="E33" i="15" a="1"/>
  <c r="E33" s="1"/>
  <c r="F10" a="1"/>
  <c r="F10" s="1"/>
  <c r="F13" a="1"/>
  <c r="F13" s="1"/>
  <c r="E69" a="1"/>
  <c r="E69" s="1"/>
  <c r="E34" a="1"/>
  <c r="E34" s="1"/>
  <c r="E21" i="12" a="1"/>
  <c r="E21" s="1"/>
  <c r="L13" i="45" a="1"/>
  <c r="L13" s="1"/>
  <c r="F20" i="12" a="1"/>
  <c r="F20" s="1"/>
  <c r="E12" i="15" a="1"/>
  <c r="E12" s="1"/>
  <c r="F33" a="1"/>
  <c r="F33" s="1"/>
  <c r="L20" i="45" a="1"/>
  <c r="L20" s="1"/>
  <c r="E22" i="15" a="1"/>
  <c r="E22" s="1"/>
  <c r="H38" i="55" s="1"/>
  <c r="E10" i="15" a="1"/>
  <c r="E10" s="1"/>
  <c r="E11" s="1"/>
  <c r="H49" i="55" a="1"/>
  <c r="H49" s="1"/>
  <c r="H19" a="1"/>
  <c r="H19" s="1"/>
  <c r="F21" i="12" a="1"/>
  <c r="F21" s="1"/>
  <c r="E67" i="15" a="1"/>
  <c r="E67" s="1"/>
  <c r="J31" i="55" a="1"/>
  <c r="J31" s="1"/>
  <c r="H86" i="43"/>
  <c r="H87" s="1"/>
  <c r="F46" i="12" a="1"/>
  <c r="F46" s="1"/>
  <c r="F47" a="1"/>
  <c r="F47" s="1"/>
  <c r="F29" i="15" a="1"/>
  <c r="F29" s="1"/>
  <c r="F28" i="12" a="1"/>
  <c r="F28" s="1"/>
  <c r="F31" a="1"/>
  <c r="F31" s="1"/>
  <c r="E6" a="1"/>
  <c r="E6" s="1"/>
  <c r="J21" i="45" a="1"/>
  <c r="J21" s="1"/>
  <c r="F28" i="15" a="1"/>
  <c r="F28" s="1"/>
  <c r="H12" i="55" a="1"/>
  <c r="H12" s="1"/>
  <c r="L25" i="45" a="1"/>
  <c r="L25" s="1"/>
  <c r="H8" i="62" a="1"/>
  <c r="H8" s="1"/>
  <c r="E26" i="15" a="1"/>
  <c r="E26" s="1"/>
  <c r="H61" i="55" s="1"/>
  <c r="F24" i="15" a="1"/>
  <c r="F24" s="1"/>
  <c r="J9" i="45" a="1"/>
  <c r="J9" s="1"/>
  <c r="F52" i="15" a="1"/>
  <c r="F52" s="1"/>
  <c r="J39" i="55" a="1"/>
  <c r="J39" s="1"/>
  <c r="E22" i="12" a="1"/>
  <c r="E22" s="1"/>
  <c r="H5" i="62" a="1"/>
  <c r="H5" s="1"/>
  <c r="F17" i="12" a="1"/>
  <c r="F17" s="1"/>
  <c r="E4" a="1"/>
  <c r="E4" s="1"/>
  <c r="F56" i="15" a="1"/>
  <c r="F56" s="1"/>
  <c r="F58" s="1"/>
  <c r="L17" i="45" a="1"/>
  <c r="L17" s="1"/>
  <c r="E31" i="15" a="1"/>
  <c r="E31" s="1"/>
  <c r="E32" s="1"/>
  <c r="J13" i="45" a="1"/>
  <c r="J13" s="1"/>
  <c r="F19" i="12" a="1"/>
  <c r="F19" s="1"/>
  <c r="F12" a="1"/>
  <c r="F12" s="1"/>
  <c r="J10" i="62" a="1"/>
  <c r="J10" s="1"/>
  <c r="L24" i="45" a="1"/>
  <c r="L24" s="1"/>
  <c r="N24" s="1"/>
  <c r="E20" i="15" a="1"/>
  <c r="E20" s="1"/>
  <c r="H18" i="55" a="1"/>
  <c r="H18" s="1"/>
  <c r="J5" i="45" a="1"/>
  <c r="J5" s="1"/>
  <c r="J15" a="1"/>
  <c r="J15" s="1"/>
  <c r="J20" a="1"/>
  <c r="J20" s="1"/>
  <c r="E10" i="12" a="1"/>
  <c r="E10" s="1"/>
  <c r="F51" i="15" a="1"/>
  <c r="F51" s="1"/>
  <c r="H51" s="1"/>
  <c r="F24" i="12" a="1"/>
  <c r="F24" s="1"/>
  <c r="J16" i="45" a="1"/>
  <c r="J16" s="1"/>
  <c r="F20" i="15" a="1"/>
  <c r="F20" s="1"/>
  <c r="E48" a="1"/>
  <c r="E48" s="1"/>
  <c r="E27" a="1"/>
  <c r="E27" s="1"/>
  <c r="F41" a="1"/>
  <c r="F41" s="1"/>
  <c r="F42" s="1"/>
  <c r="E28" i="12" a="1"/>
  <c r="E28" s="1"/>
  <c r="E51" a="1"/>
  <c r="E51" s="1"/>
  <c r="F50" a="1"/>
  <c r="F50" s="1"/>
  <c r="F5" a="1"/>
  <c r="F5" s="1"/>
  <c r="H23" i="55" a="1"/>
  <c r="H23" s="1"/>
  <c r="F48" i="12" a="1"/>
  <c r="F48" s="1"/>
  <c r="F43" a="1"/>
  <c r="F43" s="1"/>
  <c r="G43" s="1"/>
  <c r="E48" a="1"/>
  <c r="E48" s="1"/>
  <c r="H34" i="55" a="1"/>
  <c r="H34" s="1"/>
  <c r="H52" a="1"/>
  <c r="H52" s="1"/>
  <c r="H32" a="1"/>
  <c r="H32" s="1"/>
  <c r="E19" i="12" a="1"/>
  <c r="E19" s="1"/>
  <c r="F27" i="15" a="1"/>
  <c r="F27" s="1"/>
  <c r="J11" i="45" a="1"/>
  <c r="J11" s="1"/>
  <c r="L18" a="1"/>
  <c r="L18" s="1"/>
  <c r="H53" i="55" a="1"/>
  <c r="H53" s="1"/>
  <c r="F31" i="15" a="1"/>
  <c r="F31" s="1"/>
  <c r="H39" i="55" a="1"/>
  <c r="H39" s="1"/>
  <c r="F10" i="12" a="1"/>
  <c r="F10" s="1"/>
  <c r="L14" i="45" a="1"/>
  <c r="L14" s="1"/>
  <c r="H41" i="55" a="1"/>
  <c r="H41" s="1"/>
  <c r="H16" a="1"/>
  <c r="H16" s="1"/>
  <c r="F54" i="15" a="1"/>
  <c r="F54" s="1"/>
  <c r="F55" s="1"/>
  <c r="E21" a="1"/>
  <c r="E21" s="1"/>
  <c r="H46" i="55" s="1"/>
  <c r="F23" i="12" a="1"/>
  <c r="F23" s="1"/>
  <c r="F4" a="1"/>
  <c r="F4" s="1"/>
  <c r="F22" i="15" a="1"/>
  <c r="F22" s="1"/>
  <c r="E39" a="1"/>
  <c r="E39" s="1"/>
  <c r="F16" a="1"/>
  <c r="F16" s="1"/>
  <c r="H13" i="55" a="1"/>
  <c r="H13" s="1"/>
  <c r="H6" i="62" a="1"/>
  <c r="H6" s="1"/>
  <c r="F11" i="12" a="1"/>
  <c r="F11" s="1"/>
  <c r="H47" i="55" a="1"/>
  <c r="H47" s="1"/>
  <c r="E25" i="15" a="1"/>
  <c r="E25" s="1"/>
  <c r="F47" a="1"/>
  <c r="F47" s="1"/>
  <c r="H48" i="55" a="1"/>
  <c r="H48" s="1"/>
  <c r="J5" i="62" a="1"/>
  <c r="J5" s="1"/>
  <c r="H28" i="55" a="1"/>
  <c r="H28" s="1"/>
  <c r="J22" i="45" a="1"/>
  <c r="J22" s="1"/>
  <c r="H15" i="55" a="1"/>
  <c r="H15" s="1"/>
  <c r="H26" a="1"/>
  <c r="H26" s="1"/>
  <c r="E16" i="15" a="1"/>
  <c r="E16" s="1"/>
  <c r="E17" s="1"/>
  <c r="E60" a="1"/>
  <c r="E60" s="1"/>
  <c r="F13" i="12" a="1"/>
  <c r="F13" s="1"/>
  <c r="L21" i="45" a="1"/>
  <c r="L21" s="1"/>
  <c r="F16" i="12" a="1"/>
  <c r="F16" s="1"/>
  <c r="F25" i="15" a="1"/>
  <c r="F25" s="1"/>
  <c r="H33" i="55" a="1"/>
  <c r="H33" s="1"/>
  <c r="F18" i="15" a="1"/>
  <c r="F18" s="1"/>
  <c r="F19" s="1"/>
  <c r="F40" a="1"/>
  <c r="F40" s="1"/>
  <c r="F44" a="1"/>
  <c r="F44" s="1"/>
  <c r="F45" s="1"/>
  <c r="F22" i="12" a="1"/>
  <c r="F22" s="1"/>
  <c r="G22" s="1"/>
  <c r="H22" i="47"/>
  <c r="H23" s="1"/>
  <c r="J33" i="55" a="1"/>
  <c r="J33" s="1"/>
  <c r="L22" i="45" a="1"/>
  <c r="L22" s="1"/>
  <c r="E68" i="15" a="1"/>
  <c r="E68" s="1"/>
  <c r="J24" i="55" a="1"/>
  <c r="J24" s="1"/>
  <c r="E29" i="15" a="1"/>
  <c r="E29" s="1"/>
  <c r="L6" i="45" a="1"/>
  <c r="L6" s="1"/>
  <c r="F60" i="15" a="1"/>
  <c r="F60" s="1"/>
  <c r="F38" a="1"/>
  <c r="F38" s="1"/>
  <c r="F55" i="12" s="1"/>
  <c r="F21" i="15" a="1"/>
  <c r="F21" s="1"/>
  <c r="J46" i="55" s="1"/>
  <c r="F15" i="15" a="1"/>
  <c r="F15" s="1"/>
  <c r="J49" i="55" a="1"/>
  <c r="J49" s="1"/>
  <c r="H27" a="1"/>
  <c r="H27" s="1"/>
  <c r="L12" i="45" a="1"/>
  <c r="L12" s="1"/>
  <c r="J12" i="55" a="1"/>
  <c r="J12" s="1"/>
  <c r="E8" i="12" a="1"/>
  <c r="E8" s="1"/>
  <c r="F68" i="15" a="1"/>
  <c r="F68" s="1"/>
  <c r="F39" a="1"/>
  <c r="F39" s="1"/>
  <c r="E44" a="1"/>
  <c r="E44" s="1"/>
  <c r="E45" s="1"/>
  <c r="L5" i="45" a="1"/>
  <c r="L5" s="1"/>
  <c r="H31" i="55" a="1"/>
  <c r="H31" s="1"/>
  <c r="E54" i="15" a="1"/>
  <c r="E54" s="1"/>
  <c r="H42" i="55" a="1"/>
  <c r="H42" s="1"/>
  <c r="E47" i="15" a="1"/>
  <c r="E47" s="1"/>
  <c r="F36" a="1"/>
  <c r="F36" s="1"/>
  <c r="J53" i="55" a="1"/>
  <c r="J53" s="1"/>
  <c r="F65" i="15" a="1"/>
  <c r="F65" s="1"/>
  <c r="F26" a="1"/>
  <c r="F26" s="1"/>
  <c r="F63" a="1"/>
  <c r="F63" s="1"/>
  <c r="J51" i="55" a="1"/>
  <c r="J51" s="1"/>
  <c r="F12" i="15" a="1"/>
  <c r="F12" s="1"/>
  <c r="J7" i="62" a="1"/>
  <c r="J7" s="1"/>
  <c r="J52" i="55" a="1"/>
  <c r="J52" s="1"/>
  <c r="J15" a="1"/>
  <c r="J15" s="1"/>
  <c r="J35" a="1"/>
  <c r="J35" s="1"/>
  <c r="J43" a="1"/>
  <c r="J43" s="1"/>
  <c r="F69" i="15" a="1"/>
  <c r="F69" s="1"/>
  <c r="H57"/>
  <c r="J20" i="55" a="1"/>
  <c r="J20" s="1"/>
  <c r="F64" i="15" a="1"/>
  <c r="F64" s="1"/>
  <c r="J13" i="55" a="1"/>
  <c r="J13" s="1"/>
  <c r="J32" a="1"/>
  <c r="J32" s="1"/>
  <c r="F70" i="15" a="1"/>
  <c r="F70" s="1"/>
  <c r="J30" i="55" a="1"/>
  <c r="J30" s="1"/>
  <c r="J34" a="1"/>
  <c r="J34" s="1"/>
  <c r="J42" a="1"/>
  <c r="J42" s="1"/>
  <c r="J18" a="1"/>
  <c r="J18" s="1"/>
  <c r="E40" i="12" a="1"/>
  <c r="E40" s="1"/>
  <c r="E34" a="1"/>
  <c r="E34" s="1"/>
  <c r="F44" a="1"/>
  <c r="F44" s="1"/>
  <c r="E41" a="1"/>
  <c r="E41" s="1"/>
  <c r="F35" a="1"/>
  <c r="F35" s="1"/>
  <c r="E52" i="15" a="1"/>
  <c r="E52" s="1"/>
  <c r="E44" i="12" a="1"/>
  <c r="E44" s="1"/>
  <c r="E30" a="1"/>
  <c r="E30" s="1"/>
  <c r="H24" i="55" a="1"/>
  <c r="H24" s="1"/>
  <c r="J50" a="1"/>
  <c r="J50" s="1"/>
  <c r="J14" a="1"/>
  <c r="J14" s="1"/>
  <c r="J41" a="1"/>
  <c r="J41" s="1"/>
  <c r="J28" a="1"/>
  <c r="J28" s="1"/>
  <c r="J6" i="62" a="1"/>
  <c r="J6" s="1"/>
  <c r="H20" i="55" a="1"/>
  <c r="H20" s="1"/>
  <c r="H29" a="1"/>
  <c r="H29" s="1"/>
  <c r="F32" i="12" a="1"/>
  <c r="F32" s="1"/>
  <c r="L7" i="45" a="1"/>
  <c r="L7" s="1"/>
  <c r="J17" a="1"/>
  <c r="J17" s="1"/>
  <c r="F39" i="12" a="1"/>
  <c r="F39" s="1"/>
  <c r="E63" i="15" a="1"/>
  <c r="E63" s="1"/>
  <c r="G57"/>
  <c r="H7" i="62" a="1"/>
  <c r="H7" s="1"/>
  <c r="E37" i="12" a="1"/>
  <c r="E37" s="1"/>
  <c r="E26" a="1"/>
  <c r="E26" s="1"/>
  <c r="E24" a="1"/>
  <c r="E24" s="1"/>
  <c r="E9" a="1"/>
  <c r="E9" s="1"/>
  <c r="F49" i="15" a="1"/>
  <c r="F49" s="1"/>
  <c r="F49" i="12" a="1"/>
  <c r="F49" s="1"/>
  <c r="E56" i="15" a="1"/>
  <c r="E56" s="1"/>
  <c r="J12" i="45" a="1"/>
  <c r="J12" s="1"/>
  <c r="F38" i="12" a="1"/>
  <c r="F38" s="1"/>
  <c r="E46" a="1"/>
  <c r="E46" s="1"/>
  <c r="J40" i="55" a="1"/>
  <c r="J40" s="1"/>
  <c r="J16" a="1"/>
  <c r="J16" s="1"/>
  <c r="J48" a="1"/>
  <c r="J48" s="1"/>
  <c r="J23" a="1"/>
  <c r="J23" s="1"/>
  <c r="J29" a="1"/>
  <c r="J29" s="1"/>
  <c r="E50" i="12" a="1"/>
  <c r="E50" s="1"/>
  <c r="F8" a="1"/>
  <c r="F8" s="1"/>
  <c r="E49" a="1"/>
  <c r="E49" s="1"/>
  <c r="H22" i="55" a="1"/>
  <c r="H22" s="1"/>
  <c r="F37" i="12" a="1"/>
  <c r="F37" s="1"/>
  <c r="F30" a="1"/>
  <c r="F30" s="1"/>
  <c r="L23" i="45" a="1"/>
  <c r="L23" s="1"/>
  <c r="E29" i="12" a="1"/>
  <c r="E29" s="1"/>
  <c r="E38" i="15" a="1"/>
  <c r="E38" s="1"/>
  <c r="H17" i="55" a="1"/>
  <c r="H17" s="1"/>
  <c r="E18" i="15" a="1"/>
  <c r="E18" s="1"/>
  <c r="J19" i="55" a="1"/>
  <c r="J19" s="1"/>
  <c r="J25" a="1"/>
  <c r="J25" s="1"/>
  <c r="J22" a="1"/>
  <c r="J22" s="1"/>
  <c r="F67" i="15" a="1"/>
  <c r="F67" s="1"/>
  <c r="J17" i="55" a="1"/>
  <c r="J17" s="1"/>
  <c r="J27" a="1"/>
  <c r="J27" s="1"/>
  <c r="E24" i="15" a="1"/>
  <c r="E24" s="1"/>
  <c r="J26" i="55" a="1"/>
  <c r="J26" s="1"/>
  <c r="J54" a="1"/>
  <c r="J54" s="1"/>
  <c r="J8" i="45" a="1"/>
  <c r="J8" s="1"/>
  <c r="H43" i="55" a="1"/>
  <c r="H43" s="1"/>
  <c r="E23" i="12" a="1"/>
  <c r="E23" s="1"/>
  <c r="E47" a="1"/>
  <c r="E47" s="1"/>
  <c r="E33" a="1"/>
  <c r="E33" s="1"/>
  <c r="F36" a="1"/>
  <c r="F36" s="1"/>
  <c r="L9" i="45" a="1"/>
  <c r="L9" s="1"/>
  <c r="C14" i="39"/>
  <c r="I70" i="15" l="1"/>
  <c r="G24"/>
  <c r="G33" i="12"/>
  <c r="L58" i="55"/>
  <c r="L55"/>
  <c r="L57"/>
  <c r="H27" i="12"/>
  <c r="G27"/>
  <c r="G15"/>
  <c r="H15"/>
  <c r="G18"/>
  <c r="H18"/>
  <c r="I32" i="14"/>
  <c r="I66" i="15"/>
  <c r="G14" i="12"/>
  <c r="L21" i="55"/>
  <c r="H14" i="12"/>
  <c r="N35" i="63"/>
  <c r="O35"/>
  <c r="G56" i="15"/>
  <c r="G58" s="1"/>
  <c r="I67"/>
  <c r="H39" i="12"/>
  <c r="L25" i="55"/>
  <c r="L12"/>
  <c r="E35" i="15"/>
  <c r="G42" i="12"/>
  <c r="G12" i="15"/>
  <c r="H28"/>
  <c r="G47" i="12"/>
  <c r="G29"/>
  <c r="G40" i="15"/>
  <c r="N11" i="45"/>
  <c r="H42" i="12"/>
  <c r="H38"/>
  <c r="F61" i="15"/>
  <c r="F62" s="1"/>
  <c r="G46"/>
  <c r="L13" i="62"/>
  <c r="L35" i="55"/>
  <c r="G15" i="15"/>
  <c r="P31" i="45"/>
  <c r="L50" i="55"/>
  <c r="G34" i="12"/>
  <c r="H13"/>
  <c r="P32" i="45"/>
  <c r="G48" i="15"/>
  <c r="N28" i="45"/>
  <c r="N30"/>
  <c r="P29"/>
  <c r="P28"/>
  <c r="P30"/>
  <c r="N32"/>
  <c r="N27"/>
  <c r="N29"/>
  <c r="N31"/>
  <c r="H7" i="12"/>
  <c r="G51"/>
  <c r="L8" i="62"/>
  <c r="H25" i="12"/>
  <c r="G31" i="15"/>
  <c r="G32" s="1"/>
  <c r="N12" i="62"/>
  <c r="N13"/>
  <c r="N14"/>
  <c r="G28" i="12"/>
  <c r="N15" i="62"/>
  <c r="G25" i="12"/>
  <c r="H19"/>
  <c r="P25" i="45"/>
  <c r="N10"/>
  <c r="P10"/>
  <c r="G31" i="12"/>
  <c r="U10" i="49"/>
  <c r="T10"/>
  <c r="I23" i="47"/>
  <c r="I24" s="1"/>
  <c r="L40" i="55"/>
  <c r="L11" i="62"/>
  <c r="G26" i="12"/>
  <c r="H32"/>
  <c r="H22" i="15"/>
  <c r="N8" i="45"/>
  <c r="G41" i="12"/>
  <c r="H46" i="15"/>
  <c r="H51" i="12"/>
  <c r="L27" i="55"/>
  <c r="H38" i="15"/>
  <c r="L16" i="55"/>
  <c r="L52"/>
  <c r="G17" i="12"/>
  <c r="G11"/>
  <c r="H5"/>
  <c r="H12"/>
  <c r="H40" i="15"/>
  <c r="H31" i="12"/>
  <c r="G46"/>
  <c r="P7" i="45"/>
  <c r="AV53" i="48"/>
  <c r="H48" i="12"/>
  <c r="L13" i="55"/>
  <c r="N26" i="45"/>
  <c r="H36" i="12"/>
  <c r="G41" i="15"/>
  <c r="G42" s="1"/>
  <c r="P19" i="45"/>
  <c r="G6" i="12"/>
  <c r="P9" i="45"/>
  <c r="G21" i="15"/>
  <c r="L46" i="55" s="1"/>
  <c r="H13" i="15"/>
  <c r="AW54" i="48"/>
  <c r="AW54" i="49" s="1"/>
  <c r="AW54" i="50" s="1"/>
  <c r="AW54" i="51" s="1"/>
  <c r="AW53" i="48"/>
  <c r="J52"/>
  <c r="J54" s="1"/>
  <c r="J54" i="49" s="1"/>
  <c r="J54" i="50" s="1"/>
  <c r="J54" i="51" s="1"/>
  <c r="CR52" i="48"/>
  <c r="F44" s="1"/>
  <c r="CZ44" s="1"/>
  <c r="H25" i="15"/>
  <c r="H27"/>
  <c r="G20"/>
  <c r="G33"/>
  <c r="I59"/>
  <c r="N20" i="45"/>
  <c r="H20" i="12"/>
  <c r="H34" i="15"/>
  <c r="N8" i="62"/>
  <c r="N15" i="45"/>
  <c r="H21" i="15"/>
  <c r="G44" i="12"/>
  <c r="P20" i="45"/>
  <c r="CP52" i="48"/>
  <c r="F43" s="1"/>
  <c r="N5" i="45"/>
  <c r="G52" i="15"/>
  <c r="BS54" i="48"/>
  <c r="BS54" i="49" s="1"/>
  <c r="BS54" i="50" s="1"/>
  <c r="BS54" i="51" s="1"/>
  <c r="BR53" i="48"/>
  <c r="BS53"/>
  <c r="P23" i="45"/>
  <c r="L30" i="55"/>
  <c r="I64" i="15"/>
  <c r="I65"/>
  <c r="N14" i="45"/>
  <c r="H10" i="12"/>
  <c r="G10" i="15"/>
  <c r="G11" s="1"/>
  <c r="G51"/>
  <c r="F35"/>
  <c r="F53"/>
  <c r="L51" i="55"/>
  <c r="G16" i="12"/>
  <c r="G28" i="15"/>
  <c r="L19" i="55"/>
  <c r="G34" i="15"/>
  <c r="G7" i="12"/>
  <c r="H31" i="15"/>
  <c r="H32" s="1"/>
  <c r="P15" i="45"/>
  <c r="P13"/>
  <c r="N9" i="62"/>
  <c r="G48" i="12"/>
  <c r="H11"/>
  <c r="P14" i="45"/>
  <c r="P11"/>
  <c r="N10" i="62"/>
  <c r="E14" i="15"/>
  <c r="N16" i="45"/>
  <c r="H6" i="12"/>
  <c r="H43"/>
  <c r="F11" i="15"/>
  <c r="E23"/>
  <c r="L48" i="55"/>
  <c r="H49" i="15"/>
  <c r="H41"/>
  <c r="H42" s="1"/>
  <c r="E42"/>
  <c r="E43" s="1"/>
  <c r="G5" i="12"/>
  <c r="K52" i="48"/>
  <c r="K54" s="1"/>
  <c r="K54" i="49" s="1"/>
  <c r="K54" i="50" s="1"/>
  <c r="K54" i="51" s="1"/>
  <c r="L49" i="55"/>
  <c r="F23" i="15"/>
  <c r="G9" i="12"/>
  <c r="L10" i="62"/>
  <c r="G13" i="15"/>
  <c r="H10"/>
  <c r="H11" s="1"/>
  <c r="H35" i="12"/>
  <c r="G40"/>
  <c r="L53" i="55"/>
  <c r="P16" i="45"/>
  <c r="G27" i="15"/>
  <c r="G4" i="12"/>
  <c r="N11" i="62"/>
  <c r="G16" i="15"/>
  <c r="G17" s="1"/>
  <c r="L15" i="55"/>
  <c r="H44" i="15"/>
  <c r="H16"/>
  <c r="H17" s="1"/>
  <c r="F32"/>
  <c r="H4" i="12"/>
  <c r="I69" i="15"/>
  <c r="E30"/>
  <c r="H17" i="12"/>
  <c r="F17" i="15"/>
  <c r="N13" i="45"/>
  <c r="G22" i="15"/>
  <c r="L38" i="55" s="1"/>
  <c r="N18" i="45"/>
  <c r="L9" i="62"/>
  <c r="G12" i="12"/>
  <c r="G23"/>
  <c r="F30" i="15"/>
  <c r="H28" i="12"/>
  <c r="G24"/>
  <c r="L14" i="55"/>
  <c r="G26" i="15"/>
  <c r="L61" i="55" s="1"/>
  <c r="H8" i="12"/>
  <c r="P24" i="45"/>
  <c r="H33" i="15"/>
  <c r="G45" i="12"/>
  <c r="L28" i="55"/>
  <c r="L24"/>
  <c r="G19" i="12"/>
  <c r="CN52" i="48"/>
  <c r="CN54" s="1"/>
  <c r="CN54" i="49" s="1"/>
  <c r="CN54" i="50" s="1"/>
  <c r="CN54" i="51" s="1"/>
  <c r="N12" i="45"/>
  <c r="H16" i="12"/>
  <c r="G44" i="15"/>
  <c r="F43"/>
  <c r="H15"/>
  <c r="H47"/>
  <c r="P26" i="45"/>
  <c r="G25" i="15"/>
  <c r="L20" i="55"/>
  <c r="F14" i="15"/>
  <c r="H12"/>
  <c r="J19" i="62"/>
  <c r="L42" i="55"/>
  <c r="P22" i="45"/>
  <c r="G10" i="12"/>
  <c r="N5" i="62"/>
  <c r="P21" i="45"/>
  <c r="H29" i="15"/>
  <c r="H21" i="12"/>
  <c r="E61" i="15"/>
  <c r="L7" i="62"/>
  <c r="N17" i="45"/>
  <c r="L18" i="55"/>
  <c r="J38"/>
  <c r="P18" i="45"/>
  <c r="N6"/>
  <c r="L43" i="55"/>
  <c r="N6" i="62"/>
  <c r="L32" i="55"/>
  <c r="H20" i="15"/>
  <c r="N25" i="45"/>
  <c r="G54" i="15"/>
  <c r="N22" i="45"/>
  <c r="L47" i="55"/>
  <c r="H45"/>
  <c r="G46" s="1"/>
  <c r="L39"/>
  <c r="G50" i="12"/>
  <c r="G47" i="15"/>
  <c r="E50"/>
  <c r="H54"/>
  <c r="E55"/>
  <c r="G55" s="1"/>
  <c r="L5" i="62"/>
  <c r="H36" i="15"/>
  <c r="L31" i="55"/>
  <c r="I68" i="15"/>
  <c r="L23" i="55"/>
  <c r="H60"/>
  <c r="G61" s="1"/>
  <c r="L34"/>
  <c r="L26"/>
  <c r="L41"/>
  <c r="G39" i="15"/>
  <c r="H39"/>
  <c r="G21" i="12"/>
  <c r="G13"/>
  <c r="N19" i="45"/>
  <c r="H45" i="12"/>
  <c r="G29" i="15"/>
  <c r="G39" i="12"/>
  <c r="I63" i="15"/>
  <c r="N21" i="45"/>
  <c r="G20" i="12"/>
  <c r="H48" i="15"/>
  <c r="L33" i="55"/>
  <c r="H26" i="12"/>
  <c r="H50"/>
  <c r="H41"/>
  <c r="H45" i="15"/>
  <c r="H22" i="12"/>
  <c r="P6" i="45"/>
  <c r="I60" i="15"/>
  <c r="H37" i="12"/>
  <c r="P5" i="45"/>
  <c r="H30" i="12"/>
  <c r="F50" i="15"/>
  <c r="M52" i="48"/>
  <c r="M54" s="1"/>
  <c r="M54" i="49" s="1"/>
  <c r="M54" i="50" s="1"/>
  <c r="M54" i="51" s="1"/>
  <c r="F37" i="15"/>
  <c r="H37" s="1"/>
  <c r="H56"/>
  <c r="H58" s="1"/>
  <c r="J61" i="55"/>
  <c r="H26" i="15"/>
  <c r="G36"/>
  <c r="N52" i="48"/>
  <c r="N54" s="1"/>
  <c r="N54" i="49" s="1"/>
  <c r="N54" i="50" s="1"/>
  <c r="N54" i="51" s="1"/>
  <c r="R52" i="48"/>
  <c r="S53" s="1"/>
  <c r="Q52"/>
  <c r="P53" s="1"/>
  <c r="L52"/>
  <c r="O52"/>
  <c r="E53" i="15"/>
  <c r="P17" i="45"/>
  <c r="J60" i="55"/>
  <c r="L6" i="62"/>
  <c r="N7" i="45"/>
  <c r="H34" i="12"/>
  <c r="H52" i="15"/>
  <c r="H53" s="1"/>
  <c r="P35" i="45" s="1"/>
  <c r="G35" i="12"/>
  <c r="H40"/>
  <c r="H46"/>
  <c r="J37" i="55"/>
  <c r="G49" i="12"/>
  <c r="E19" i="15"/>
  <c r="G19" s="1"/>
  <c r="G18"/>
  <c r="H18"/>
  <c r="H33" i="12"/>
  <c r="E53"/>
  <c r="G49" i="15"/>
  <c r="H24"/>
  <c r="H44" i="12"/>
  <c r="N7" i="62"/>
  <c r="P12" i="45"/>
  <c r="P8"/>
  <c r="L17" i="55"/>
  <c r="H49" i="12"/>
  <c r="L29" i="55"/>
  <c r="L34" i="45"/>
  <c r="J45" i="55"/>
  <c r="I46" s="1"/>
  <c r="H9" i="12"/>
  <c r="F53"/>
  <c r="F57" s="1"/>
  <c r="E55"/>
  <c r="G38" i="15"/>
  <c r="H23" i="12"/>
  <c r="H37" i="55"/>
  <c r="G38" s="1"/>
  <c r="G37" i="12"/>
  <c r="G45" i="15"/>
  <c r="E58"/>
  <c r="J34" i="45"/>
  <c r="H29" i="12"/>
  <c r="G8"/>
  <c r="L54" i="55"/>
  <c r="G38" i="12"/>
  <c r="G36"/>
  <c r="L22" i="55"/>
  <c r="H47" i="12"/>
  <c r="H17" i="62"/>
  <c r="H21" s="1"/>
  <c r="N9" i="45"/>
  <c r="N23"/>
  <c r="G30" i="12"/>
  <c r="H24"/>
  <c r="J17" i="62"/>
  <c r="G32" i="12"/>
  <c r="G14" i="15" l="1"/>
  <c r="F72"/>
  <c r="I61"/>
  <c r="J34" i="14"/>
  <c r="G53" i="15"/>
  <c r="H30"/>
  <c r="G43"/>
  <c r="U53" i="49"/>
  <c r="U10" i="50" s="1"/>
  <c r="T53" i="49"/>
  <c r="T10" i="50" s="1"/>
  <c r="BR10" i="49"/>
  <c r="AW10"/>
  <c r="P10"/>
  <c r="S10"/>
  <c r="BS10"/>
  <c r="AV10"/>
  <c r="AV53" s="1"/>
  <c r="H24" i="47"/>
  <c r="H25" s="1"/>
  <c r="H14" i="15"/>
  <c r="G30"/>
  <c r="G35"/>
  <c r="I38"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60" i="55"/>
  <c r="K61" s="1"/>
  <c r="H50" i="15"/>
  <c r="K53" i="48"/>
  <c r="J53"/>
  <c r="L17" i="62"/>
  <c r="L53" i="48"/>
  <c r="J21" i="62"/>
  <c r="L45" i="55"/>
  <c r="K46" s="1"/>
  <c r="N17" i="62"/>
  <c r="I61"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H19" i="15"/>
  <c r="L37" i="55"/>
  <c r="K38" s="1"/>
  <c r="G53" i="12"/>
  <c r="N34" i="45"/>
  <c r="P34"/>
  <c r="P36" s="1"/>
  <c r="H53" i="12"/>
  <c r="E57"/>
  <c r="G72" i="15" l="1"/>
  <c r="H72"/>
  <c r="E72"/>
  <c r="BS53" i="49"/>
  <c r="BS10" i="50" s="1"/>
  <c r="I34" i="14"/>
  <c r="I35" s="1"/>
  <c r="CZ52" i="48"/>
  <c r="CZ53" s="1"/>
  <c r="CZ10" i="49" s="1"/>
  <c r="U53" i="50"/>
  <c r="U10" i="51" s="1"/>
  <c r="T53" i="50"/>
  <c r="T10" i="51" s="1"/>
  <c r="AW53" i="49"/>
  <c r="AW10" i="50" s="1"/>
  <c r="AV10"/>
  <c r="L10" i="49"/>
  <c r="M10"/>
  <c r="N10"/>
  <c r="J10"/>
  <c r="O10"/>
  <c r="Q10"/>
  <c r="Q53" s="1"/>
  <c r="R10"/>
  <c r="S53" s="1"/>
  <c r="K10"/>
  <c r="BR53"/>
  <c r="I25" i="47"/>
  <c r="I26" s="1"/>
  <c r="CS53" i="48"/>
  <c r="CR53"/>
  <c r="CO42"/>
  <c r="CO52" s="1"/>
  <c r="CO53" s="1"/>
  <c r="CQ53"/>
  <c r="CQ54"/>
  <c r="CQ54" i="49" s="1"/>
  <c r="CQ54" i="50" s="1"/>
  <c r="CQ54" i="51" s="1"/>
  <c r="CP53" i="48"/>
  <c r="CZ54" l="1"/>
  <c r="CZ54" i="49" s="1"/>
  <c r="CZ54" i="50" s="1"/>
  <c r="CZ54" i="51" s="1"/>
  <c r="DA53" i="48"/>
  <c r="DA10" i="49" s="1"/>
  <c r="DA53" s="1"/>
  <c r="J35" i="14"/>
  <c r="J36" s="1"/>
  <c r="O53" i="49"/>
  <c r="O10" i="50" s="1"/>
  <c r="U53" i="51"/>
  <c r="T53"/>
  <c r="H74" i="15"/>
  <c r="N53" i="49"/>
  <c r="N10" i="50" s="1"/>
  <c r="M53" i="49"/>
  <c r="M10" i="50" s="1"/>
  <c r="AV53"/>
  <c r="AV10" i="51" s="1"/>
  <c r="L53" i="49"/>
  <c r="L10" i="50" s="1"/>
  <c r="BR10"/>
  <c r="BS53" s="1"/>
  <c r="BS10" i="51" s="1"/>
  <c r="Q10" i="50"/>
  <c r="S10"/>
  <c r="K53" i="49"/>
  <c r="AW53" i="50"/>
  <c r="AW10" i="51" s="1"/>
  <c r="R53" i="49"/>
  <c r="J53"/>
  <c r="P53"/>
  <c r="CR10"/>
  <c r="CP10"/>
  <c r="CS10"/>
  <c r="CQ10"/>
  <c r="CO10"/>
  <c r="H26" i="47"/>
  <c r="H27" s="1"/>
  <c r="CO54" i="48"/>
  <c r="CO54" i="49" s="1"/>
  <c r="CO54" i="50" s="1"/>
  <c r="CO54" i="51" s="1"/>
  <c r="CN53" i="48"/>
  <c r="I36" i="14" l="1"/>
  <c r="I37" s="1"/>
  <c r="L53" i="50"/>
  <c r="L10" i="51" s="1"/>
  <c r="N53" i="50"/>
  <c r="N10" i="51" s="1"/>
  <c r="CP53" i="49"/>
  <c r="CP10" i="50" s="1"/>
  <c r="O53"/>
  <c r="O10" i="51" s="1"/>
  <c r="CZ53" i="49"/>
  <c r="CZ10" i="50" s="1"/>
  <c r="M53"/>
  <c r="M10" i="51" s="1"/>
  <c r="CS53" i="49"/>
  <c r="CS10" i="50" s="1"/>
  <c r="BR53"/>
  <c r="BR10" i="51" s="1"/>
  <c r="BR53" s="1"/>
  <c r="P10" i="50"/>
  <c r="J10"/>
  <c r="K10"/>
  <c r="R10"/>
  <c r="CQ53" i="49"/>
  <c r="DA10" i="50"/>
  <c r="AV53" i="51"/>
  <c r="AW53"/>
  <c r="CR53" i="49"/>
  <c r="CN10"/>
  <c r="CN53" s="1"/>
  <c r="I27" i="47"/>
  <c r="I28" s="1"/>
  <c r="J37" i="14" l="1"/>
  <c r="J38" s="1"/>
  <c r="L53" i="51"/>
  <c r="O53"/>
  <c r="M53"/>
  <c r="N53"/>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I38" i="14" l="1"/>
  <c r="CZ53" i="5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alcChain>
</file>

<file path=xl/sharedStrings.xml><?xml version="1.0" encoding="utf-8"?>
<sst xmlns="http://schemas.openxmlformats.org/spreadsheetml/2006/main" count="8820" uniqueCount="1617">
  <si>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</si>
  <si>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</si>
  <si>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</si>
  <si>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</si>
  <si>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</si>
  <si>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</si>
  <si>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</si>
  <si>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</si>
  <si>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</si>
  <si>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</si>
  <si>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</si>
  <si>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</si>
  <si>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</si>
  <si>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</si>
  <si>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</si>
  <si>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</si>
  <si>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</si>
  <si>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</si>
  <si>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</si>
  <si>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</si>
  <si>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</si>
  <si>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</si>
  <si>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</si>
  <si>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</si>
  <si>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</si>
  <si>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</si>
  <si>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</si>
  <si>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</si>
  <si>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</si>
  <si>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</si>
  <si>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</si>
  <si>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</si>
  <si>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</si>
  <si>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</si>
  <si>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</si>
  <si>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</si>
  <si>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</si>
  <si>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</si>
  <si>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</si>
  <si>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</si>
  <si>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</si>
  <si>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</si>
  <si>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</si>
  <si>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</si>
  <si>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</si>
  <si>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</si>
  <si>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</si>
  <si>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</si>
  <si>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</si>
  <si>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</si>
  <si>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</si>
  <si>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</si>
  <si>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</si>
  <si>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</si>
  <si>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</si>
  <si>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</si>
  <si>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</si>
  <si>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</si>
  <si>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</si>
  <si>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</si>
  <si>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</si>
  <si>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</si>
  <si>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</si>
  <si>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</si>
  <si>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</si>
  <si>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</si>
  <si>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</si>
  <si>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</si>
  <si>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</si>
  <si>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</si>
  <si>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</si>
  <si>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</si>
  <si>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</si>
  <si>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</si>
  <si>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</si>
  <si>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</si>
  <si>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</si>
  <si>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</si>
  <si>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</si>
  <si>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</si>
  <si>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</si>
  <si>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</si>
  <si>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</si>
  <si>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</si>
  <si>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</si>
  <si>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</si>
  <si>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</si>
  <si>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</si>
  <si>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</si>
  <si>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</si>
  <si>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</si>
  <si>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</si>
  <si>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</si>
  <si>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</si>
  <si>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</si>
  <si>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</si>
  <si>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</si>
  <si>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</si>
  <si>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</si>
  <si>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</si>
  <si>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</si>
  <si>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</si>
  <si>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</si>
  <si>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</si>
  <si>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</si>
  <si>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</si>
  <si>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</si>
  <si>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</si>
  <si>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</si>
  <si>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</si>
  <si>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</si>
  <si>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</si>
  <si>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</si>
  <si>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</si>
  <si>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</si>
  <si>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</si>
  <si>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</si>
  <si>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</si>
  <si>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</si>
  <si>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</si>
  <si>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</si>
  <si>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</si>
  <si>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</si>
  <si>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</si>
  <si>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</si>
  <si>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</si>
  <si>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</si>
  <si>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</si>
  <si>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</si>
  <si>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</si>
  <si>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</si>
  <si>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</si>
  <si>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</si>
  <si>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</si>
  <si>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</si>
  <si>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</si>
  <si>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</si>
  <si>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</si>
  <si>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</si>
  <si>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</si>
  <si>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</si>
  <si>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</si>
  <si>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</si>
  <si>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</si>
  <si>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</si>
  <si>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</si>
  <si>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</si>
  <si>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</si>
  <si>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</si>
  <si>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</si>
  <si>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</si>
  <si>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</si>
  <si>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</si>
  <si>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</si>
  <si>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</si>
  <si>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</si>
  <si>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</si>
  <si>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</si>
  <si>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</si>
  <si>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</si>
  <si>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</si>
  <si>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</si>
  <si>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</si>
  <si>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</si>
  <si>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</si>
  <si>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</si>
  <si>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</si>
  <si>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</si>
  <si>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</si>
  <si>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</si>
  <si>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</si>
  <si>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</si>
  <si>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</si>
  <si>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</si>
  <si>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</si>
  <si>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</si>
  <si>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</si>
  <si>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</si>
  <si>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</si>
  <si>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</si>
  <si>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</si>
  <si>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</si>
  <si>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</si>
  <si>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</si>
  <si>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</si>
  <si>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</si>
  <si>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</si>
  <si>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</si>
  <si>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</si>
  <si>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</si>
  <si>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</si>
  <si>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</si>
  <si>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</si>
  <si>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</si>
  <si>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</si>
  <si>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</si>
  <si>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</si>
  <si>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</si>
  <si>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</si>
  <si>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</si>
  <si>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</si>
  <si>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</si>
  <si>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</si>
  <si>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</si>
  <si>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</si>
  <si>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</si>
  <si>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</si>
  <si>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</si>
  <si>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</si>
  <si>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</si>
  <si>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</si>
  <si>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</si>
  <si>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</si>
  <si>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</si>
  <si>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</si>
  <si>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</si>
  <si>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</si>
  <si>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</si>
  <si>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</si>
  <si>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</si>
  <si>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</si>
  <si>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</si>
  <si>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</si>
  <si>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</si>
  <si>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</si>
  <si>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</si>
  <si>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</si>
  <si>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</si>
  <si>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</si>
  <si>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</si>
  <si>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</si>
  <si>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</si>
  <si>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</si>
  <si>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</si>
  <si>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</si>
  <si>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</si>
  <si>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</si>
  <si>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</si>
  <si>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</si>
  <si>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</si>
  <si>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</si>
  <si>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</si>
  <si>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</si>
  <si>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</si>
  <si>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</si>
  <si>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</si>
  <si>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</si>
  <si>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</si>
  <si>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</si>
  <si>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</si>
  <si>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</si>
  <si>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</si>
  <si>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</si>
  <si>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</si>
  <si>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</si>
  <si>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</si>
  <si>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</si>
  <si>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</si>
  <si>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</si>
  <si>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</si>
  <si>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</si>
  <si>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</si>
  <si>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</si>
  <si>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</si>
  <si>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</si>
  <si>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</si>
  <si>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</si>
  <si>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</si>
  <si>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</si>
  <si>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</si>
  <si>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</si>
  <si>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</si>
  <si>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</si>
  <si>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</si>
  <si>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</si>
  <si>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</si>
  <si>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</si>
  <si>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</si>
  <si>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</si>
  <si>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</si>
  <si>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</si>
  <si>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</si>
  <si>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</si>
  <si>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</si>
  <si>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</si>
  <si>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</si>
  <si>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</si>
  <si>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</si>
  <si>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</si>
  <si>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</si>
  <si>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</si>
  <si>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</si>
  <si>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</si>
  <si>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</si>
  <si>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</si>
  <si>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</si>
  <si>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</si>
  <si>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</si>
  <si>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</si>
  <si>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</si>
  <si>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</si>
  <si>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</si>
  <si>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</si>
  <si>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</si>
  <si>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</si>
  <si>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</si>
  <si>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</si>
  <si>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</si>
  <si>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</si>
  <si>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</si>
  <si>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</si>
  <si>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</si>
  <si>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</si>
  <si>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</si>
  <si>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</si>
  <si>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</si>
  <si>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</si>
  <si>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</si>
  <si>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</si>
  <si>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</si>
  <si>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</si>
  <si>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</si>
  <si>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</si>
  <si>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</si>
  <si>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</si>
  <si>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</si>
  <si>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</si>
  <si>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</si>
  <si>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</si>
  <si>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</si>
  <si>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</si>
  <si>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</si>
  <si>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</si>
  <si>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</si>
  <si>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</si>
  <si>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</si>
  <si>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</si>
  <si>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</si>
  <si>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</si>
  <si>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</si>
  <si>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</si>
  <si>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</si>
  <si>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</si>
  <si>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</si>
  <si>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</si>
  <si>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</si>
  <si>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</si>
  <si>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</si>
  <si>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</si>
  <si>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</si>
  <si>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</si>
  <si>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</si>
  <si>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</si>
  <si>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</si>
  <si>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</si>
  <si>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</si>
  <si>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</si>
  <si>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</si>
  <si>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</si>
  <si>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</si>
  <si>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</si>
  <si>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</si>
  <si>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</si>
  <si>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</si>
  <si>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</si>
  <si>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</si>
  <si>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</si>
  <si>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</si>
  <si>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</si>
  <si>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</si>
  <si>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</si>
  <si>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</si>
  <si>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</si>
  <si>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</si>
  <si>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</si>
  <si>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</si>
  <si>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</si>
  <si>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</si>
  <si>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</si>
  <si>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</si>
  <si>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</si>
  <si>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</si>
  <si>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</si>
  <si>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</si>
  <si>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</si>
  <si>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</si>
  <si>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</si>
  <si>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</si>
  <si>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</si>
  <si>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</si>
  <si>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</si>
  <si>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</si>
  <si>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</si>
  <si>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</si>
  <si>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</si>
  <si>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</si>
  <si>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</si>
  <si>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</si>
  <si>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</si>
  <si>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</si>
  <si>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</si>
  <si>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</si>
  <si>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</si>
  <si>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</si>
  <si>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</si>
  <si>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</si>
  <si>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</si>
  <si>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</si>
  <si>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</si>
  <si>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</si>
  <si>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</si>
  <si>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</si>
  <si>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</si>
  <si>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</si>
  <si>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</si>
  <si>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</si>
  <si>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</si>
  <si>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</si>
  <si>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</si>
  <si>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</si>
  <si>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</si>
  <si>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</si>
  <si>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</si>
  <si>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</si>
  <si>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</si>
  <si>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</si>
  <si>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</si>
  <si>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</si>
  <si>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</si>
  <si>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</si>
  <si>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</si>
  <si>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</si>
  <si>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</si>
  <si>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</si>
  <si>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</si>
  <si>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</si>
  <si>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</si>
  <si>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</si>
  <si>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</si>
  <si>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</si>
  <si>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</si>
  <si>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</si>
  <si>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</si>
  <si>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</si>
  <si>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</si>
  <si>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</si>
  <si>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</si>
  <si>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</si>
  <si>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</si>
  <si>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</si>
  <si>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</si>
  <si>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</si>
  <si>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</si>
  <si>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</si>
  <si>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</si>
  <si>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</si>
  <si>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</si>
  <si>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</si>
  <si>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</si>
  <si>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</si>
  <si>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</si>
  <si>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</si>
  <si>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</si>
  <si>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</si>
  <si>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</si>
  <si>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</si>
  <si>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</si>
  <si>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</si>
  <si>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</si>
  <si>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</si>
  <si>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</si>
  <si>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</si>
  <si>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</si>
  <si>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</si>
  <si>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</si>
  <si>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</si>
  <si>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</si>
  <si>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</si>
  <si>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</si>
  <si>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</si>
  <si>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</si>
  <si>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</si>
  <si>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</si>
  <si>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</si>
  <si>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</si>
  <si>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</si>
  <si>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</si>
  <si>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</si>
  <si>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</si>
  <si>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</si>
  <si>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</si>
  <si>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</si>
  <si>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</si>
  <si>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</si>
  <si>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</si>
  <si>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</si>
  <si>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</si>
  <si>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</si>
  <si>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</si>
  <si>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</si>
  <si>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</si>
  <si>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</si>
  <si>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</si>
  <si>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</si>
  <si>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</si>
  <si>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</si>
  <si>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</si>
  <si>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</si>
  <si>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</si>
  <si>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</si>
  <si>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</si>
  <si>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</si>
  <si>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</si>
  <si>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</si>
  <si>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</si>
  <si>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</si>
  <si>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</si>
  <si>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</si>
  <si>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</si>
  <si>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</si>
  <si>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</si>
  <si>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</si>
  <si>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</si>
  <si>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</si>
  <si>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</si>
  <si>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</si>
  <si>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</si>
  <si>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</si>
  <si>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</si>
  <si>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</si>
  <si>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</si>
  <si>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</si>
  <si>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</si>
  <si>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</si>
  <si>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</si>
  <si>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</si>
  <si>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</si>
  <si>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</si>
  <si>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</si>
  <si>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</si>
  <si>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</si>
  <si>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</si>
  <si>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</si>
  <si>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</si>
  <si>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</si>
  <si>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</si>
  <si>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</si>
  <si>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</si>
  <si>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</si>
  <si>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</si>
  <si>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</si>
  <si>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</si>
  <si>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</si>
  <si>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</si>
  <si>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</si>
  <si>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</si>
  <si>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</si>
  <si>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</si>
  <si>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</si>
  <si>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</si>
  <si>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</si>
  <si>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</si>
  <si>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</si>
  <si>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</si>
  <si>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</si>
  <si>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</si>
  <si>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</si>
  <si>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</si>
  <si>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</si>
  <si>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</si>
  <si>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</si>
  <si>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</si>
  <si>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</si>
  <si>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</si>
  <si>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</si>
  <si>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</si>
  <si>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</si>
  <si>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</si>
  <si>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</si>
  <si>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</si>
  <si>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</si>
  <si>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</si>
  <si>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</si>
  <si>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</si>
  <si>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</si>
  <si>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</si>
  <si>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</si>
  <si>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</si>
  <si>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</si>
  <si>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</si>
  <si>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</si>
  <si>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</si>
  <si>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</si>
  <si>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</si>
  <si>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</si>
  <si>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</si>
  <si>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</si>
  <si>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</si>
  <si>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</si>
  <si>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</si>
  <si>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</si>
  <si>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</si>
  <si>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</si>
  <si>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</si>
  <si>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</si>
  <si>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</si>
  <si>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</si>
  <si>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</si>
  <si>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</si>
  <si>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</si>
  <si>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</si>
  <si>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</si>
  <si>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</si>
  <si>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</si>
  <si>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</si>
  <si>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</si>
  <si>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</si>
  <si>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</si>
  <si>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</si>
  <si>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</si>
  <si>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</si>
  <si>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</si>
  <si>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</si>
  <si>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</si>
  <si>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</si>
  <si>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</si>
  <si>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</si>
  <si>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</si>
  <si>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</si>
  <si>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</si>
  <si>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</si>
  <si>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</si>
  <si>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</si>
  <si>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</si>
  <si>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</si>
  <si>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</si>
  <si>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</si>
  <si>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</si>
  <si>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</si>
  <si>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</si>
  <si>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</si>
  <si>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</si>
  <si>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</si>
  <si>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</si>
  <si>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</si>
  <si>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</si>
  <si>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</si>
  <si>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</si>
  <si>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</si>
  <si>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</si>
  <si>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</si>
  <si>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</si>
  <si>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</si>
  <si>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</si>
  <si>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</si>
  <si>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</si>
  <si>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</si>
  <si>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</si>
  <si>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</si>
  <si>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</si>
  <si>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</si>
  <si>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</si>
  <si>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</si>
  <si>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</si>
  <si>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</si>
  <si>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</si>
  <si>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</si>
  <si>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</si>
  <si>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</si>
  <si>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</si>
  <si>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</si>
  <si>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</si>
  <si>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</si>
  <si>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</si>
  <si>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</si>
  <si>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</si>
  <si>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</si>
  <si>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</si>
  <si>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</si>
  <si>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</si>
  <si>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</si>
  <si>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</si>
  <si>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</si>
  <si>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</si>
  <si>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</si>
  <si>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</si>
  <si>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</si>
  <si>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</si>
  <si>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</si>
  <si>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</si>
  <si>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</si>
  <si>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</si>
  <si>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</si>
  <si>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</si>
  <si>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</si>
  <si>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</si>
  <si>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</si>
  <si>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</si>
  <si>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</si>
  <si>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</si>
  <si>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</si>
  <si>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</si>
  <si>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</si>
  <si>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</si>
  <si>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</si>
  <si>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</si>
  <si>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</si>
  <si>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</si>
  <si>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</si>
  <si>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</si>
  <si>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</si>
  <si>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</si>
  <si>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</si>
  <si>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</si>
  <si>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</si>
  <si>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</si>
  <si>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</si>
  <si>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</si>
  <si>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</si>
  <si>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</si>
  <si>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</si>
  <si>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</si>
  <si>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</si>
  <si>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</si>
  <si>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</si>
  <si>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</si>
  <si>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</si>
  <si>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</si>
  <si>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</si>
  <si>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</si>
  <si>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</si>
  <si>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</si>
  <si>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</si>
  <si>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</si>
  <si>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</si>
  <si>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</si>
  <si>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</si>
  <si>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</si>
  <si>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</si>
  <si>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</si>
  <si>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</si>
  <si>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</si>
  <si>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</si>
  <si>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</si>
  <si>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</si>
  <si>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</si>
  <si>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</si>
  <si>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</si>
  <si>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</si>
  <si>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</si>
  <si>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</si>
  <si>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</si>
  <si>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</si>
  <si>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</si>
  <si>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</si>
  <si>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</si>
  <si>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</si>
  <si>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</si>
  <si>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</si>
  <si>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</si>
  <si>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</si>
  <si>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</si>
  <si>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</si>
  <si>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</si>
  <si>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</si>
  <si>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</si>
  <si>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</si>
  <si>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</si>
  <si>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</si>
  <si>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</si>
  <si>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</si>
  <si>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</si>
  <si>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</si>
  <si>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</si>
  <si>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</si>
  <si>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</si>
  <si>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</si>
  <si>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</si>
  <si>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</si>
  <si>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</si>
  <si>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</si>
  <si>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</si>
  <si>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</si>
  <si>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</si>
  <si>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</si>
  <si>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</si>
  <si>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</si>
  <si>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</si>
  <si>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</si>
  <si>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</si>
  <si>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</si>
  <si>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</si>
  <si>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</si>
  <si>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</si>
  <si>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</si>
  <si>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</si>
  <si>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</si>
  <si>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</si>
  <si>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</si>
  <si>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</si>
  <si>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</si>
  <si>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</si>
  <si>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</si>
  <si>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</si>
  <si>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</si>
  <si>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</si>
  <si>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</si>
  <si>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</si>
  <si>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</si>
  <si>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</si>
  <si>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</si>
  <si>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</si>
  <si>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</si>
  <si>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</si>
  <si>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</si>
  <si>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</si>
  <si>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</si>
  <si>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</si>
  <si>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</si>
  <si>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</si>
  <si>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</si>
  <si>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</si>
  <si>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</si>
  <si>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</si>
  <si>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</si>
  <si>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</si>
  <si>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</si>
  <si>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</si>
  <si>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</si>
  <si>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</si>
  <si>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</si>
  <si>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</si>
  <si>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</si>
  <si>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</si>
  <si>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</si>
  <si>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</si>
  <si>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</si>
  <si>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</si>
  <si>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</si>
  <si>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</si>
  <si>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</si>
  <si>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</si>
  <si>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</si>
  <si>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</si>
  <si>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</si>
  <si>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</si>
  <si>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</si>
  <si>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</si>
  <si>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</si>
  <si>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</si>
  <si>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</si>
  <si>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</si>
  <si>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</si>
  <si>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</si>
  <si>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</si>
  <si>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</si>
  <si>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</si>
  <si>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</si>
  <si>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</si>
  <si>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</si>
  <si>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</si>
  <si>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</si>
  <si>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</si>
  <si>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</si>
  <si>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</si>
  <si>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</si>
  <si>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</si>
  <si>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</si>
  <si>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</si>
  <si>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</si>
  <si>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</si>
  <si>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</si>
  <si>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</si>
  <si>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</si>
  <si>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</si>
  <si>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</si>
  <si>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</si>
  <si>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</si>
  <si>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</si>
  <si>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</si>
  <si>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</si>
  <si>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</si>
  <si>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</si>
  <si>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</si>
  <si>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</si>
  <si>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</si>
  <si>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</si>
  <si>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</si>
  <si>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</si>
  <si>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</si>
  <si>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</si>
  <si>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</si>
  <si>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</si>
  <si>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</si>
  <si>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</si>
  <si>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</si>
  <si>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</si>
  <si>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</si>
  <si>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</si>
  <si>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</si>
  <si>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</si>
  <si>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</si>
  <si>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</si>
  <si>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</si>
  <si>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</si>
  <si>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</si>
  <si>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</si>
  <si>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</si>
  <si>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</si>
  <si>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</si>
  <si>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</si>
  <si>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</si>
  <si>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</si>
  <si>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</si>
  <si>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</si>
  <si>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</si>
  <si>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</si>
  <si>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</si>
  <si>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</si>
  <si>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</si>
  <si>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</si>
  <si>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</si>
  <si>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</si>
  <si>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</si>
  <si>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</si>
  <si>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</si>
  <si>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</si>
  <si>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</si>
  <si>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</si>
  <si>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</si>
  <si>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</si>
  <si>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</si>
  <si>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</si>
  <si>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</si>
  <si>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</si>
  <si>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</si>
  <si>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</si>
  <si>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</si>
  <si>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</si>
  <si>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</si>
  <si>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</si>
  <si>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</si>
  <si>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</si>
  <si>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</si>
  <si>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</si>
  <si>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</si>
  <si>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</si>
  <si>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</si>
  <si>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</si>
  <si>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</si>
  <si>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</si>
  <si>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</si>
  <si>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</si>
  <si>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</si>
  <si>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</si>
  <si>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</si>
  <si>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</si>
  <si>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</si>
  <si>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</si>
  <si>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</si>
  <si>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</si>
  <si>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</si>
  <si>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</si>
  <si>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</si>
  <si>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</si>
  <si>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</si>
  <si>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</si>
  <si>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</si>
  <si>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</si>
  <si>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</si>
  <si>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</si>
  <si>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</si>
  <si>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</si>
  <si>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</si>
  <si>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</si>
  <si>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</si>
  <si>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</si>
  <si>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</si>
  <si>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</si>
  <si>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</si>
  <si>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</si>
  <si>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</si>
  <si>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</si>
  <si>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</si>
  <si>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</si>
  <si>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</si>
  <si>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</si>
  <si>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</si>
  <si>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</si>
  <si>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</si>
  <si>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</si>
  <si>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</si>
  <si>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</si>
  <si>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</si>
  <si>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</si>
  <si>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</si>
  <si>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</si>
  <si>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</si>
  <si>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</si>
  <si>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</si>
  <si>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</si>
  <si>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</si>
  <si>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</si>
  <si>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</si>
  <si>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</si>
  <si>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</si>
  <si>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</si>
  <si>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</si>
  <si>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</si>
  <si>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</si>
  <si>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</si>
  <si>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</si>
  <si>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</si>
  <si>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</si>
  <si>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</si>
  <si>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</si>
  <si>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</si>
  <si>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</si>
  <si>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</si>
  <si>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</si>
  <si>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</si>
  <si>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</si>
  <si>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</si>
  <si>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</si>
  <si>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</si>
  <si>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</si>
  <si>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</si>
  <si>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</si>
  <si>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</si>
  <si>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</si>
  <si>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</si>
  <si>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</si>
  <si>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</si>
  <si>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</si>
  <si>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</si>
  <si>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</si>
  <si>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</si>
  <si>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</si>
  <si>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</si>
  <si>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</si>
  <si>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</si>
  <si>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</si>
  <si>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</si>
  <si>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</si>
  <si>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</si>
  <si>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</si>
  <si>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</si>
  <si>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</si>
  <si>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</si>
  <si>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</si>
  <si>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</si>
  <si>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</si>
  <si>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</si>
  <si>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</si>
  <si>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</si>
  <si>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</si>
  <si>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</si>
  <si>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</si>
  <si>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</si>
  <si>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</si>
  <si>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</si>
  <si>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</si>
  <si>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</si>
  <si>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</si>
  <si>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</si>
  <si>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</si>
  <si>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</si>
  <si>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</si>
  <si>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</si>
  <si>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</si>
  <si>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</si>
  <si>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</si>
  <si>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</si>
  <si>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</si>
  <si>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</si>
  <si>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</si>
  <si>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</si>
  <si>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</si>
  <si>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</si>
  <si>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</si>
  <si>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</si>
  <si>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</si>
  <si>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</si>
  <si>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</si>
  <si>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</si>
  <si>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</si>
  <si>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</si>
  <si>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</si>
  <si>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</si>
  <si>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</si>
  <si>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</si>
  <si>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</si>
  <si>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</si>
  <si>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</si>
  <si>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</si>
  <si>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</si>
  <si>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</si>
  <si>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</si>
  <si>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</si>
  <si>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</si>
  <si>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</si>
  <si>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</si>
  <si>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</si>
  <si>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</si>
  <si>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</si>
  <si>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</si>
  <si>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</si>
  <si>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</si>
  <si>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</si>
  <si>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</si>
  <si>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</si>
  <si>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</si>
  <si>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</si>
  <si>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</si>
  <si>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</si>
  <si>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</si>
  <si>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</si>
  <si>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</si>
  <si>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</si>
  <si>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</si>
  <si>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</si>
  <si>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</si>
  <si>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</si>
  <si>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</si>
  <si>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</si>
  <si>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</si>
  <si>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</si>
  <si>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</si>
  <si>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</si>
  <si>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</si>
  <si>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</si>
  <si>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</si>
  <si>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</si>
  <si>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</si>
  <si>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</si>
  <si>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</si>
  <si>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</si>
  <si>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</si>
  <si>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</si>
  <si>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</si>
  <si>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</si>
  <si>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</si>
  <si>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</si>
  <si>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</si>
  <si>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</si>
  <si>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</si>
  <si>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</si>
  <si>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</si>
  <si>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</si>
  <si>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</si>
  <si>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</si>
  <si>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</si>
  <si>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</si>
  <si>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</si>
  <si>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</si>
  <si>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</si>
  <si>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</si>
  <si>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</si>
  <si>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</si>
  <si>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</si>
  <si>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</si>
  <si>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</si>
  <si>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</si>
  <si>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</si>
  <si>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</si>
  <si>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</si>
  <si>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</si>
  <si>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</si>
  <si>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</si>
  <si>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</si>
  <si>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</si>
  <si>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</si>
  <si>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</si>
  <si>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</si>
  <si>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</si>
  <si>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</si>
  <si>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</si>
  <si>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</si>
  <si>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</si>
  <si>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</si>
  <si>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</si>
  <si>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</si>
  <si>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</si>
  <si>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</si>
  <si>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</si>
  <si>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</si>
  <si>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</si>
  <si>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</si>
  <si>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</si>
  <si>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</si>
  <si>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</si>
  <si>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</si>
  <si>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</si>
  <si>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</si>
  <si>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</si>
  <si>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</si>
  <si>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</si>
  <si>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</si>
  <si>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</si>
  <si>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</si>
  <si>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</si>
  <si>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</si>
  <si>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</si>
  <si>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</si>
  <si>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</si>
  <si>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</si>
  <si>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</si>
  <si>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</si>
  <si>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</si>
  <si>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</si>
  <si>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</si>
  <si>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</si>
  <si>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</si>
  <si>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</si>
  <si>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</si>
  <si>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</si>
  <si>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</si>
  <si>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</si>
  <si>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</si>
  <si>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</si>
  <si>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</si>
  <si>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</si>
  <si>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</si>
  <si>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</si>
  <si>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</si>
  <si>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</si>
  <si>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</si>
  <si>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</si>
  <si>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</si>
  <si>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</si>
  <si>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</si>
  <si>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</si>
  <si>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</si>
  <si>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</si>
  <si>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</si>
  <si>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</si>
  <si>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</si>
  <si>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</si>
  <si>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</si>
  <si>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</si>
  <si>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</si>
  <si>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</si>
  <si>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</si>
  <si>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</si>
  <si>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</si>
  <si>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</si>
  <si>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</si>
  <si>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</si>
  <si>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</si>
  <si>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</si>
  <si>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</si>
  <si>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</si>
  <si>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</si>
  <si>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</si>
  <si>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</si>
  <si>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</si>
  <si>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</si>
  <si>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</si>
  <si>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</si>
  <si>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</si>
  <si>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</si>
  <si>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</si>
  <si>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</si>
  <si>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</si>
  <si>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</si>
  <si>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</si>
  <si>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</si>
  <si>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</si>
  <si>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</si>
  <si>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</si>
  <si>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</si>
  <si>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</si>
  <si>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</si>
  <si>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</si>
  <si>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</si>
  <si>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</si>
  <si>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</si>
  <si>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</si>
  <si>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</si>
  <si>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</si>
  <si>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</si>
  <si>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</si>
  <si>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</si>
  <si>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</si>
  <si>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</si>
  <si>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</si>
  <si>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</si>
  <si>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</si>
  <si>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</si>
  <si>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</si>
  <si>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</si>
  <si>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</si>
  <si>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</si>
  <si>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</si>
  <si>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</si>
  <si>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</si>
  <si>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</si>
  <si>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</si>
  <si>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</si>
  <si>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</si>
  <si>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</si>
  <si>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</si>
  <si>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</si>
  <si>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</si>
  <si>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</si>
  <si>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</si>
  <si>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</si>
  <si>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</si>
  <si>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</si>
  <si>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</si>
  <si>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</si>
  <si>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</si>
  <si>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</si>
  <si>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</si>
  <si>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</si>
  <si>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</si>
  <si>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</si>
  <si>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</si>
  <si>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</si>
  <si>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</si>
  <si>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</si>
  <si>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</si>
  <si>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</si>
  <si>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</si>
  <si>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</si>
  <si>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</si>
  <si>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</si>
  <si>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</si>
  <si>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</si>
  <si>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</si>
  <si>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</si>
  <si>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</si>
  <si>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</si>
  <si>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</si>
  <si>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</si>
  <si>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</si>
  <si>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</si>
  <si>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</si>
  <si>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</si>
  <si>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</si>
  <si>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</si>
  <si>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</si>
  <si>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</si>
  <si>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</si>
  <si>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</si>
  <si>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</si>
  <si>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</si>
  <si>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</si>
  <si>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</si>
  <si>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</si>
  <si>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</si>
  <si>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</si>
  <si>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</si>
  <si>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</si>
  <si>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</si>
  <si>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</si>
  <si>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</si>
  <si>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</si>
  <si>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</si>
  <si>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</si>
  <si>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</si>
  <si>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</si>
  <si>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</si>
  <si>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</si>
  <si>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</si>
  <si>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</si>
  <si>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</si>
  <si>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</si>
  <si>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</si>
  <si>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</si>
  <si>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</si>
  <si>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</si>
  <si>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</si>
  <si>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</si>
  <si>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</si>
  <si>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</si>
  <si>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</si>
  <si>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</si>
  <si>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</si>
  <si>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</si>
  <si>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</si>
  <si>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</si>
  <si>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</si>
  <si>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</si>
  <si>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</si>
  <si>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</si>
  <si>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</si>
  <si>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</si>
  <si>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</si>
  <si>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</si>
  <si>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</si>
  <si>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</si>
  <si>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</si>
  <si>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</si>
  <si>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</si>
  <si>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</si>
  <si>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</si>
  <si>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</si>
  <si>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</si>
  <si>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</si>
  <si>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</si>
  <si>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</si>
  <si>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</si>
  <si>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</si>
  <si>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</si>
  <si>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</si>
  <si>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</si>
  <si>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</si>
  <si>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</si>
  <si>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</si>
  <si>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</si>
  <si>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</si>
  <si>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</si>
  <si>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</si>
  <si>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</si>
  <si>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</si>
  <si>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</si>
  <si>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</si>
  <si>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</si>
  <si>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</si>
  <si>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</si>
  <si>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</si>
  <si>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</si>
  <si>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</si>
  <si>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</si>
  <si>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</si>
  <si>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</si>
  <si>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</si>
  <si>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</si>
  <si>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</si>
  <si>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</si>
  <si>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</si>
  <si>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</si>
  <si>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</si>
  <si>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</si>
  <si>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</si>
  <si>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</si>
  <si>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</si>
  <si>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</si>
  <si>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</si>
  <si>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</si>
  <si>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</si>
  <si>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</si>
  <si>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</si>
  <si>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</si>
  <si>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</si>
  <si>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</si>
  <si>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</si>
  <si>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</si>
  <si>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</si>
  <si>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</si>
  <si>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</si>
  <si>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</si>
  <si>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</si>
  <si>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</si>
  <si>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</si>
  <si>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</si>
  <si>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</si>
  <si>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</si>
  <si>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</si>
  <si>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</si>
  <si>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</si>
  <si>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</si>
  <si>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</si>
  <si>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</si>
  <si>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</si>
  <si>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</si>
  <si>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</si>
  <si>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</si>
  <si>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</si>
  <si>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</si>
  <si>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</si>
  <si>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</si>
  <si>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</si>
  <si>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</si>
  <si>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</si>
  <si>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</si>
  <si>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</si>
  <si>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</si>
  <si>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</si>
  <si>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</si>
  <si>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</si>
  <si>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</si>
  <si>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</si>
  <si>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</si>
  <si>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</si>
  <si>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</si>
  <si>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</si>
  <si>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</si>
  <si>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</si>
  <si>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</si>
  <si>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Cước VT - CNTT T4/2016</t>
  </si>
  <si>
    <t>VAT Cước VT - CNTT T4/2016</t>
  </si>
  <si>
    <t>Gas R22, đồng hồ áp lực</t>
  </si>
  <si>
    <t>Phí gửi chứng từ, phụ thu</t>
  </si>
  <si>
    <t>Cty TNHH Sagawa Express Việt Nam</t>
  </si>
  <si>
    <t>VAT Phí gửi chứng từ, phụ thu</t>
  </si>
  <si>
    <t>0359767</t>
  </si>
  <si>
    <t>0349848</t>
  </si>
  <si>
    <t>0092826</t>
  </si>
  <si>
    <t>0008174</t>
  </si>
  <si>
    <t>0460270</t>
  </si>
  <si>
    <t>0025119</t>
  </si>
  <si>
    <t>Cước CPN T4/2016</t>
  </si>
  <si>
    <t>0122008</t>
  </si>
  <si>
    <t>0008175</t>
  </si>
  <si>
    <t>Phí dịch vụ bảo vệ T5/2016</t>
  </si>
  <si>
    <t>VAT Phí dịch vụ bảo vệ T5/2016</t>
  </si>
  <si>
    <t>VAT Cước CPN T4/2016</t>
  </si>
  <si>
    <t>0000679</t>
  </si>
  <si>
    <t>Phí giao thông T5/2016</t>
  </si>
  <si>
    <t>VAT Phí giao thông T5/2016</t>
  </si>
  <si>
    <t>Thanh toán lương T5/2016</t>
  </si>
  <si>
    <t>0198255</t>
  </si>
  <si>
    <t>Tiền điện kỳ 1 T5/2016</t>
  </si>
  <si>
    <t>VAT Tiền điện kỳ 1 T5/2016</t>
  </si>
  <si>
    <t>Tiền điện kỳ 2 T5/2016</t>
  </si>
  <si>
    <t>VAT Tiền điện kỳ 2 T5/2016</t>
  </si>
  <si>
    <t>Tiền điện kỳ 3 T5/2016</t>
  </si>
  <si>
    <t>VAT Tiền điện kỳ 3 T5/2016</t>
  </si>
  <si>
    <t>Phí niêm chì, vận đơn, nâng hạ, khai hải quan, xếp dỡ</t>
  </si>
  <si>
    <t>VAT Phí niêm chì, vận đơn, nâng hạ, khai hải quan, xếp dỡ</t>
  </si>
  <si>
    <t>0000753</t>
  </si>
  <si>
    <t>Cty TNHH Asia Shiping Logistics And Warehousse Vietnam</t>
  </si>
  <si>
    <t>0000752</t>
  </si>
  <si>
    <t>Cước vận tải quốc tế</t>
  </si>
  <si>
    <t>Phí niêm chì, xếp dỡ, vận chuyển, vận đơn</t>
  </si>
  <si>
    <t>VAT Phí niêm chì, xếp dỡ, vận chuyển, vận đơn</t>
  </si>
  <si>
    <t>0000755</t>
  </si>
  <si>
    <t>0000754</t>
  </si>
  <si>
    <t>0003466</t>
  </si>
  <si>
    <t>Thùng carton 50x30x14</t>
  </si>
  <si>
    <t>Thùng carton 50x30x16</t>
  </si>
  <si>
    <t>Thùng carton 43x37x11</t>
  </si>
  <si>
    <t>Thùng carton 49x37x11</t>
  </si>
  <si>
    <t>Thùng carton 52x31x10.5</t>
  </si>
  <si>
    <t>0000638</t>
  </si>
  <si>
    <t>Phí nhận tiền từ nước ngoài</t>
  </si>
  <si>
    <t>VAT Phí nhận tiền từ nước ngoài</t>
  </si>
  <si>
    <t>Phí ngân hàng nước ngoài</t>
  </si>
  <si>
    <t>300818353530</t>
  </si>
  <si>
    <t>Cá đổng tẩm TP</t>
  </si>
  <si>
    <t>Cá đuối tẩm TP</t>
  </si>
  <si>
    <t>Ghẹ khô TP</t>
  </si>
  <si>
    <t>300825406950</t>
  </si>
  <si>
    <t>0008554</t>
  </si>
  <si>
    <t>Cty TNHH TM DV Ắc Quy Vạn Phước Thịnh</t>
  </si>
  <si>
    <t>Ắc quy</t>
  </si>
  <si>
    <t>VAT Ắc quy</t>
  </si>
  <si>
    <t>0000155</t>
  </si>
  <si>
    <t>Phí xét nghiệm</t>
  </si>
  <si>
    <t>VAT Phí xét nghiệm</t>
  </si>
  <si>
    <t>0010660</t>
  </si>
  <si>
    <t>Việt Pasteur TP Hồ Chí Minh</t>
  </si>
  <si>
    <t>Trung Tâm DV PT Thí Nghiệm TPHCM</t>
  </si>
  <si>
    <t>VAT Phí phân tích chỉ tiêu</t>
  </si>
  <si>
    <t>0001152</t>
  </si>
  <si>
    <t>0000742</t>
  </si>
  <si>
    <t>0000743</t>
  </si>
  <si>
    <t>0057646</t>
  </si>
  <si>
    <t>Phí vận chuyển rác T12/15 - T5/16</t>
  </si>
  <si>
    <t>0460423</t>
  </si>
  <si>
    <t>0460552</t>
  </si>
  <si>
    <t>0460710</t>
  </si>
  <si>
    <t>0460780</t>
  </si>
  <si>
    <t>BADA N HAECHO FISHERY CORP</t>
  </si>
  <si>
    <t>KU 1015ESPEIB60005</t>
  </si>
  <si>
    <t>KU 1015ESPEIB60006</t>
  </si>
  <si>
    <t>Lãi TG NH</t>
  </si>
  <si>
    <t>Thanh toán tiền điện kì 2 tháng 4</t>
  </si>
  <si>
    <t>Phí kiểm đếm</t>
  </si>
  <si>
    <t>VAT Phí kiểm đếm</t>
  </si>
  <si>
    <t>Thanh toán tiền hàng</t>
  </si>
  <si>
    <t>Thanh toán tiền điện kì 3 tháng 4</t>
  </si>
  <si>
    <t>Thanh toán tiền điện kì 1 tháng 5</t>
  </si>
  <si>
    <t>Đề nghị hoàn thuế GTGT số:01/2016-AL</t>
  </si>
  <si>
    <t>300866828860</t>
  </si>
  <si>
    <t>300858661040</t>
  </si>
  <si>
    <t>CHUNG HAE WON CO., LTD</t>
  </si>
  <si>
    <t>Phí</t>
  </si>
  <si>
    <t>0199265</t>
  </si>
  <si>
    <t>0243408</t>
  </si>
  <si>
    <t>0252099</t>
  </si>
  <si>
    <t>T07</t>
  </si>
  <si>
    <t>T08</t>
  </si>
  <si>
    <t>T09</t>
  </si>
  <si>
    <t>PV</t>
  </si>
  <si>
    <t>0018797</t>
  </si>
  <si>
    <t>Cước CPN T5/2016</t>
  </si>
  <si>
    <t>VAT Cước CPN T5/2016</t>
  </si>
  <si>
    <t>0086220</t>
  </si>
  <si>
    <t>0460905</t>
  </si>
  <si>
    <t>Phí, lệ phí</t>
  </si>
  <si>
    <t>0079270</t>
  </si>
  <si>
    <t>0460940</t>
  </si>
  <si>
    <t>0490200</t>
  </si>
  <si>
    <t>Cước VT - CNTT T5/2016</t>
  </si>
  <si>
    <t>VAT Cước VT - CNTT T5/2016</t>
  </si>
  <si>
    <t>0001598</t>
  </si>
  <si>
    <t>0461109</t>
  </si>
  <si>
    <t>0512797</t>
  </si>
  <si>
    <t>0461311</t>
  </si>
  <si>
    <t>0009207</t>
  </si>
  <si>
    <t>Phí chuừng từ, bốc xếp, xếp dỡ, phụ trội, giao nhận</t>
  </si>
  <si>
    <t>VAT Phí chuừng từ, bốc xếp, xếp dỡ, phụ trội, giao nhận</t>
  </si>
  <si>
    <t>0001045</t>
  </si>
  <si>
    <t>Cty TNHH Liến Kết Năng Động</t>
  </si>
  <si>
    <t>0461450</t>
  </si>
  <si>
    <t>0092844</t>
  </si>
  <si>
    <t>Nộp thuế GTGT hàng nhập khẩu TK 10091171883</t>
  </si>
  <si>
    <t>Kho bạc Nhà Nước</t>
  </si>
  <si>
    <t>33312</t>
  </si>
  <si>
    <t>Phí lưu kho</t>
  </si>
  <si>
    <t>0056155</t>
  </si>
  <si>
    <t>Cty CP Kho Vận Tân Cảng</t>
  </si>
  <si>
    <t>VAT Phí lưu kho</t>
  </si>
  <si>
    <t>0461556</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</si>
</sst>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46">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0" fontId="34" fillId="0" borderId="16" xfId="53" applyFont="1" applyBorder="1" applyAlignment="1">
      <alignment vertical="center"/>
    </xf>
    <xf numFmtId="0" fontId="49" fillId="0" borderId="16" xfId="0" applyFont="1" applyFill="1" applyBorder="1" applyAlignment="1">
      <alignment horizontal="center"/>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34" fillId="25" borderId="16" xfId="77" applyNumberFormat="1" applyFont="1" applyFill="1" applyBorder="1" applyAlignment="1">
      <alignment horizontal="center" vertical="center"/>
    </xf>
    <xf numFmtId="14" fontId="34" fillId="25" borderId="16" xfId="76" applyNumberFormat="1" applyFont="1" applyFill="1" applyBorder="1" applyAlignment="1">
      <alignment horizontal="center" vertical="center"/>
    </xf>
    <xf numFmtId="164" fontId="34" fillId="25" borderId="16" xfId="76" applyNumberFormat="1" applyFont="1" applyFill="1" applyBorder="1" applyAlignment="1">
      <alignment horizontal="left" vertical="center"/>
    </xf>
    <xf numFmtId="49" fontId="34" fillId="25" borderId="16" xfId="76" applyNumberFormat="1" applyFont="1" applyFill="1" applyBorder="1" applyAlignment="1">
      <alignment horizontal="left" vertical="center"/>
    </xf>
    <xf numFmtId="164" fontId="34" fillId="25" borderId="16" xfId="29" applyNumberFormat="1" applyFont="1" applyFill="1" applyBorder="1" applyAlignment="1">
      <alignment horizontal="left" vertical="center"/>
    </xf>
    <xf numFmtId="43" fontId="34" fillId="25" borderId="16" xfId="29" applyFont="1" applyFill="1" applyBorder="1" applyAlignment="1">
      <alignment horizontal="left" vertical="center"/>
    </xf>
    <xf numFmtId="164" fontId="34" fillId="25" borderId="16" xfId="77" applyNumberFormat="1" applyFont="1" applyFill="1" applyBorder="1" applyAlignment="1">
      <alignment vertical="center"/>
    </xf>
    <xf numFmtId="0" fontId="34" fillId="25" borderId="16" xfId="76" quotePrefix="1" applyNumberFormat="1" applyFont="1" applyFill="1" applyBorder="1" applyAlignment="1">
      <alignment horizontal="center" vertical="center"/>
    </xf>
    <xf numFmtId="0" fontId="3" fillId="25" borderId="0" xfId="0" applyFont="1" applyFill="1"/>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sheetPr>
    <tabColor rgb="FFFFC000"/>
  </sheetPr>
  <dimension ref="A1:L76"/>
  <sheetViews>
    <sheetView topLeftCell="A8" workbookViewId="0">
      <pane xSplit="2" ySplit="2" topLeftCell="C34"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9.5">
      <c r="A5" s="34" t="s">
        <v>54</v>
      </c>
      <c r="B5" s="34"/>
      <c r="C5" s="35"/>
      <c r="D5" s="35"/>
      <c r="E5" s="34"/>
      <c r="F5" s="34"/>
      <c r="G5" s="34"/>
      <c r="H5" s="34"/>
    </row>
    <row r="6" spans="1:12" ht="19.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30551270000</v>
      </c>
      <c r="F10" s="43">
        <f t="array" ref="F10">SUM(IF(A10=KHC,TH))</f>
        <v>11245481989</v>
      </c>
      <c r="G10" s="44">
        <f>MAX(C10+E10-D10-F10,0)</f>
        <v>23010827106</v>
      </c>
      <c r="H10" s="44">
        <f>MAX(D10+F10-E10-C10,0)</f>
        <v>0</v>
      </c>
      <c r="K10" s="45"/>
      <c r="L10" s="45"/>
    </row>
    <row r="11" spans="1:12" s="32" customFormat="1">
      <c r="A11" s="46" t="s">
        <v>18</v>
      </c>
      <c r="B11" s="47" t="s">
        <v>65</v>
      </c>
      <c r="C11" s="48">
        <v>3705039095</v>
      </c>
      <c r="D11" s="48">
        <v>0</v>
      </c>
      <c r="E11" s="48">
        <f>E10</f>
        <v>30551270000</v>
      </c>
      <c r="F11" s="48">
        <f>F10</f>
        <v>11245481989</v>
      </c>
      <c r="G11" s="48">
        <f>G10</f>
        <v>23010827106</v>
      </c>
      <c r="H11" s="48">
        <f>H10</f>
        <v>0</v>
      </c>
    </row>
    <row r="12" spans="1:12" s="32" customFormat="1">
      <c r="A12" s="49" t="s">
        <v>26</v>
      </c>
      <c r="B12" s="42" t="s">
        <v>66</v>
      </c>
      <c r="C12" s="43">
        <v>19829295</v>
      </c>
      <c r="D12" s="43">
        <v>0</v>
      </c>
      <c r="E12" s="43">
        <f t="array" ref="E12">SUM(IF(A12=KHN,TH))</f>
        <v>33121549689</v>
      </c>
      <c r="F12" s="43">
        <f t="array" ref="F12">SUM(IF(A12=KHC,TH))</f>
        <v>42910554438</v>
      </c>
      <c r="G12" s="44">
        <f>MAX(C12+E12-D12-F12,0)</f>
        <v>0</v>
      </c>
      <c r="H12" s="44">
        <f>MAX(D12+F12-E12-C12,0)</f>
        <v>9769175454</v>
      </c>
      <c r="K12" s="45"/>
      <c r="L12" s="45"/>
    </row>
    <row r="13" spans="1:12" s="32" customFormat="1">
      <c r="A13" s="49" t="s">
        <v>267</v>
      </c>
      <c r="B13" s="42" t="s">
        <v>268</v>
      </c>
      <c r="C13" s="43">
        <v>2236796790</v>
      </c>
      <c r="D13" s="43">
        <v>0</v>
      </c>
      <c r="E13" s="43">
        <f t="array" ref="E13">SUM(IF(A13=KHN,TH))</f>
        <v>23400539449.400002</v>
      </c>
      <c r="F13" s="43">
        <f t="array" ref="F13">SUM(IF(A13=KHC,TH))</f>
        <v>25633308112</v>
      </c>
      <c r="G13" s="44">
        <f>MAX(C13+E13-D13-F13,0)</f>
        <v>4028127.4000015259</v>
      </c>
      <c r="H13" s="44">
        <f>MAX(D13+F13-E13-C13,0)</f>
        <v>0</v>
      </c>
      <c r="K13" s="45"/>
      <c r="L13" s="45"/>
    </row>
    <row r="14" spans="1:12" s="32" customFormat="1">
      <c r="A14" s="46" t="s">
        <v>67</v>
      </c>
      <c r="B14" s="47" t="s">
        <v>68</v>
      </c>
      <c r="C14" s="48">
        <v>2256626085</v>
      </c>
      <c r="D14" s="48">
        <v>0</v>
      </c>
      <c r="E14" s="48">
        <f>E12+E13</f>
        <v>56522089138.400002</v>
      </c>
      <c r="F14" s="48">
        <f>F12+F13</f>
        <v>68543862550</v>
      </c>
      <c r="G14" s="48">
        <f>G12+G13</f>
        <v>4028127.4000015259</v>
      </c>
      <c r="H14" s="48">
        <f>H12+H13</f>
        <v>9769175454</v>
      </c>
    </row>
    <row r="15" spans="1:12" s="32" customFormat="1">
      <c r="A15" s="46" t="s">
        <v>591</v>
      </c>
      <c r="B15" s="47" t="s">
        <v>877</v>
      </c>
      <c r="C15" s="48">
        <v>3343381600</v>
      </c>
      <c r="D15" s="48">
        <v>0</v>
      </c>
      <c r="E15" s="87">
        <f t="array" ref="E15">SUM(IF(A15=KHN,TH))</f>
        <v>14224413560</v>
      </c>
      <c r="F15" s="87">
        <f t="array" ref="F15">SUM(IF(A15=KHC,TH))</f>
        <v>11799285434</v>
      </c>
      <c r="G15" s="48">
        <f>MAX(C15+E15-D15-F15,0)</f>
        <v>5768509726</v>
      </c>
      <c r="H15" s="48">
        <f>MAX(D15+F15-E15-C15,0)</f>
        <v>0</v>
      </c>
    </row>
    <row r="16" spans="1:12" s="32" customFormat="1">
      <c r="A16" s="49" t="s">
        <v>9</v>
      </c>
      <c r="B16" s="42" t="s">
        <v>69</v>
      </c>
      <c r="C16" s="43">
        <v>162420936</v>
      </c>
      <c r="D16" s="43">
        <v>0</v>
      </c>
      <c r="E16" s="43">
        <f t="array" ref="E16">SUM(IF(A16=KHN,TH))</f>
        <v>162516033</v>
      </c>
      <c r="F16" s="43">
        <f t="array" ref="F16">SUM(IF(A16=KHC,TH))</f>
        <v>321158412</v>
      </c>
      <c r="G16" s="44">
        <f>MAX(C16+E16-D16-F16,0)</f>
        <v>3778557</v>
      </c>
      <c r="H16" s="44">
        <f>MAX(D16+F16-E16-C16,0)</f>
        <v>0</v>
      </c>
    </row>
    <row r="17" spans="1:8" s="32" customFormat="1">
      <c r="A17" s="46" t="s">
        <v>70</v>
      </c>
      <c r="B17" s="47" t="s">
        <v>71</v>
      </c>
      <c r="C17" s="48">
        <v>162420936</v>
      </c>
      <c r="D17" s="48">
        <v>0</v>
      </c>
      <c r="E17" s="48">
        <f>E16</f>
        <v>162516033</v>
      </c>
      <c r="F17" s="48">
        <f>F16</f>
        <v>321158412</v>
      </c>
      <c r="G17" s="48">
        <f>G16</f>
        <v>3778557</v>
      </c>
      <c r="H17" s="48">
        <f>H16</f>
        <v>0</v>
      </c>
    </row>
    <row r="18" spans="1:8" s="32" customFormat="1">
      <c r="A18" s="49" t="s">
        <v>72</v>
      </c>
      <c r="B18" s="42" t="s">
        <v>73</v>
      </c>
      <c r="C18" s="43">
        <v>1500000000</v>
      </c>
      <c r="D18" s="43">
        <v>0</v>
      </c>
      <c r="E18" s="43">
        <f t="array" ref="E18">SUM(IF(A18=KHN,TH))</f>
        <v>560158412</v>
      </c>
      <c r="F18" s="43">
        <f t="array" ref="F18">SUM(IF(A18=KHC,TH))</f>
        <v>160000000</v>
      </c>
      <c r="G18" s="44">
        <f t="shared" ref="G18:G41" si="0">MAX(C18+E18-D18-F18,0)</f>
        <v>1900158412</v>
      </c>
      <c r="H18" s="44">
        <f t="shared" ref="H18:H41" si="1">MAX(D18+F18-E18-C18,0)</f>
        <v>0</v>
      </c>
    </row>
    <row r="19" spans="1:8" s="32" customFormat="1">
      <c r="A19" s="46" t="s">
        <v>74</v>
      </c>
      <c r="B19" s="47" t="s">
        <v>75</v>
      </c>
      <c r="C19" s="48">
        <v>1500000000</v>
      </c>
      <c r="D19" s="48">
        <v>0</v>
      </c>
      <c r="E19" s="48">
        <f>E18</f>
        <v>560158412</v>
      </c>
      <c r="F19" s="48">
        <f>F18</f>
        <v>160000000</v>
      </c>
      <c r="G19" s="48">
        <f t="shared" si="0"/>
        <v>1900158412</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544536404</v>
      </c>
      <c r="F22" s="43">
        <f t="array" ref="F22">SUM(IF(A22=KHC,TH))</f>
        <v>228252002</v>
      </c>
      <c r="G22" s="43">
        <f t="shared" si="0"/>
        <v>842804289</v>
      </c>
      <c r="H22" s="43">
        <f t="shared" si="1"/>
        <v>0</v>
      </c>
    </row>
    <row r="23" spans="1:8" s="32" customFormat="1">
      <c r="A23" s="46" t="s">
        <v>279</v>
      </c>
      <c r="B23" s="47" t="s">
        <v>280</v>
      </c>
      <c r="C23" s="48">
        <f>C21+C22</f>
        <v>3298919887</v>
      </c>
      <c r="D23" s="48">
        <f>D21+D22</f>
        <v>0</v>
      </c>
      <c r="E23" s="48">
        <f>E21+E22</f>
        <v>4201136404</v>
      </c>
      <c r="F23" s="48">
        <f>F21+F22</f>
        <v>6657252002</v>
      </c>
      <c r="G23" s="48">
        <f t="shared" si="0"/>
        <v>842804289</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9048144735</v>
      </c>
      <c r="F25" s="87">
        <f t="array" ref="F25">SUM(IF(A25=KHC,TH))</f>
        <v>8885096235</v>
      </c>
      <c r="G25" s="48">
        <f t="shared" si="0"/>
        <v>163048500</v>
      </c>
      <c r="H25" s="48">
        <f t="shared" si="1"/>
        <v>0</v>
      </c>
    </row>
    <row r="26" spans="1:8" s="32" customFormat="1">
      <c r="A26" s="46" t="s">
        <v>285</v>
      </c>
      <c r="B26" s="47" t="s">
        <v>286</v>
      </c>
      <c r="C26" s="48">
        <v>9386323824</v>
      </c>
      <c r="D26" s="48">
        <v>0</v>
      </c>
      <c r="E26" s="87">
        <f t="array" ref="E26">SUM(IF(A26=KHN,TH))</f>
        <v>8885096235</v>
      </c>
      <c r="F26" s="87">
        <f t="array" ref="F26">SUM(IF(A26=KHC,TH))</f>
        <v>7995679088</v>
      </c>
      <c r="G26" s="48">
        <f t="shared" si="0"/>
        <v>10275740971</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869</v>
      </c>
      <c r="B31" s="463" t="s">
        <v>870</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874</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875</v>
      </c>
      <c r="B35" s="47" t="s">
        <v>876</v>
      </c>
      <c r="C35" s="48">
        <f t="shared" ref="C35:H35" si="3">C33+C34</f>
        <v>0</v>
      </c>
      <c r="D35" s="48">
        <f t="shared" si="3"/>
        <v>9733001616</v>
      </c>
      <c r="E35" s="48">
        <f t="shared" si="3"/>
        <v>0</v>
      </c>
      <c r="F35" s="48">
        <f t="shared" si="3"/>
        <v>182430027</v>
      </c>
      <c r="G35" s="48">
        <f t="shared" si="3"/>
        <v>0</v>
      </c>
      <c r="H35" s="48">
        <f t="shared" si="3"/>
        <v>9915431643</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4708078120</v>
      </c>
      <c r="F38" s="87">
        <f t="array" ref="F38">SUM(IF(A38=KHC,TH))</f>
        <v>5023722224</v>
      </c>
      <c r="G38" s="48">
        <f t="shared" si="0"/>
        <v>0</v>
      </c>
      <c r="H38" s="48">
        <f t="shared" si="1"/>
        <v>792597356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441646246</v>
      </c>
      <c r="F44" s="43">
        <f t="array" ref="F44">SUM(IF(A44=KHC,TH))</f>
        <v>441646246</v>
      </c>
      <c r="G44" s="43">
        <f t="shared" ref="G44:G49" si="5">MAX(C44+E44-D44-F44,0)</f>
        <v>0</v>
      </c>
      <c r="H44" s="43">
        <f t="shared" ref="H44:H49" si="6">MAX(D44+F44-E44-C44,0)</f>
        <v>0</v>
      </c>
    </row>
    <row r="45" spans="1:8" s="32" customFormat="1">
      <c r="A45" s="46" t="s">
        <v>864</v>
      </c>
      <c r="B45" s="47" t="s">
        <v>865</v>
      </c>
      <c r="C45" s="48">
        <v>0</v>
      </c>
      <c r="D45" s="48">
        <v>0</v>
      </c>
      <c r="E45" s="48">
        <f>E44</f>
        <v>441646246</v>
      </c>
      <c r="F45" s="48">
        <f>F44</f>
        <v>441646246</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134493720</v>
      </c>
      <c r="G46" s="43">
        <f t="shared" si="5"/>
        <v>0</v>
      </c>
      <c r="H46" s="43">
        <f t="shared" si="6"/>
        <v>102099914</v>
      </c>
    </row>
    <row r="47" spans="1:8" s="32" customFormat="1">
      <c r="A47" s="49" t="s">
        <v>597</v>
      </c>
      <c r="B47" s="42" t="s">
        <v>861</v>
      </c>
      <c r="C47" s="43">
        <v>0</v>
      </c>
      <c r="D47" s="43">
        <v>6403142</v>
      </c>
      <c r="E47" s="43">
        <f t="array" ref="E47">SUM(IF(A47=KHN,TH))</f>
        <v>19101465</v>
      </c>
      <c r="F47" s="43">
        <f t="array" ref="F47">SUM(IF(A47=KHC,TH))</f>
        <v>19823490</v>
      </c>
      <c r="G47" s="43">
        <f t="shared" si="5"/>
        <v>0</v>
      </c>
      <c r="H47" s="43">
        <f t="shared" si="6"/>
        <v>7125167</v>
      </c>
    </row>
    <row r="48" spans="1:8" s="32" customFormat="1">
      <c r="A48" s="41" t="s">
        <v>598</v>
      </c>
      <c r="B48" s="42" t="s">
        <v>862</v>
      </c>
      <c r="C48" s="43">
        <v>0</v>
      </c>
      <c r="D48" s="43">
        <v>2761373</v>
      </c>
      <c r="E48" s="43">
        <f t="array" ref="E48">SUM(IF(A48=KHN,TH))</f>
        <v>8232420</v>
      </c>
      <c r="F48" s="43">
        <f t="array" ref="F48">SUM(IF(A48=KHC,TH))</f>
        <v>8810440</v>
      </c>
      <c r="G48" s="43">
        <f t="shared" si="5"/>
        <v>0</v>
      </c>
      <c r="H48" s="43">
        <f t="shared" si="6"/>
        <v>3339393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223757126</v>
      </c>
      <c r="G50" s="48">
        <f t="shared" si="7"/>
        <v>0</v>
      </c>
      <c r="H50" s="48">
        <f t="shared" si="7"/>
        <v>112564474</v>
      </c>
    </row>
    <row r="51" spans="1:9" s="32" customFormat="1">
      <c r="A51" s="41" t="s">
        <v>87</v>
      </c>
      <c r="B51" s="42" t="s">
        <v>262</v>
      </c>
      <c r="C51" s="44">
        <v>0</v>
      </c>
      <c r="D51" s="44">
        <v>2169121879</v>
      </c>
      <c r="E51" s="44">
        <f t="array" ref="E51">SUM(IF(A51=KHN,TH))</f>
        <v>2256065400</v>
      </c>
      <c r="F51" s="44">
        <f t="array" ref="F51">SUM(IF(A51=KHC,TH))</f>
        <v>2256065400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11067932400</v>
      </c>
      <c r="F53" s="48">
        <f t="shared" si="8"/>
        <v>11096029400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SUM(IF(A57=TH!$N$10:$N$1166,TH!$M$10:$M$1166))</f>
        <v>113496017.5999999</v>
      </c>
      <c r="F57" s="43">
        <f t="array" ref="F57">SUM(IF(A57=TH!$O$10:$O$1166,TH!$M$10:$M$1166))</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14212894655</v>
      </c>
      <c r="F60" s="468">
        <f t="array" ref="F60">SUM(IF(A60=KHC,TH))</f>
        <v>14212894655</v>
      </c>
      <c r="G60" s="467"/>
      <c r="H60" s="467"/>
      <c r="I60" s="32">
        <f>E60-F60</f>
        <v>0</v>
      </c>
    </row>
    <row r="61" spans="1:9" s="32" customFormat="1">
      <c r="A61" s="41" t="s">
        <v>301</v>
      </c>
      <c r="B61" s="42" t="s">
        <v>302</v>
      </c>
      <c r="C61" s="43"/>
      <c r="D61" s="43"/>
      <c r="E61" s="43">
        <f>E59+E60</f>
        <v>14212894655</v>
      </c>
      <c r="F61" s="43">
        <f>F59+F60</f>
        <v>14212894655</v>
      </c>
      <c r="G61" s="43"/>
      <c r="H61" s="43"/>
      <c r="I61" s="32">
        <f>E61-F61</f>
        <v>0</v>
      </c>
    </row>
    <row r="62" spans="1:9" s="32" customFormat="1">
      <c r="A62" s="46" t="s">
        <v>303</v>
      </c>
      <c r="B62" s="47" t="s">
        <v>304</v>
      </c>
      <c r="C62" s="48"/>
      <c r="D62" s="48"/>
      <c r="E62" s="48">
        <f>E61</f>
        <v>14212894655</v>
      </c>
      <c r="F62" s="48">
        <f>F61</f>
        <v>14212894655</v>
      </c>
      <c r="G62" s="48"/>
      <c r="H62" s="48"/>
      <c r="I62" s="32">
        <f>E62-F62</f>
        <v>0</v>
      </c>
    </row>
    <row r="63" spans="1:9" s="32" customFormat="1">
      <c r="A63" s="46" t="s">
        <v>43</v>
      </c>
      <c r="B63" s="47" t="s">
        <v>98</v>
      </c>
      <c r="C63" s="48"/>
      <c r="D63" s="48"/>
      <c r="E63" s="87">
        <f t="array" ref="E63">SUM(IF(A63=KHN,TH))</f>
        <v>56162078.400000855</v>
      </c>
      <c r="F63" s="87">
        <f t="array" ref="F63">SUM(IF(A63=KHC,TH))</f>
        <v>56162078.400000855</v>
      </c>
      <c r="G63" s="48"/>
      <c r="H63" s="48"/>
      <c r="I63" s="32">
        <f t="shared" ref="I63:I71" si="9">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9"/>
        <v>0</v>
      </c>
    </row>
    <row r="65" spans="1:9" s="32" customFormat="1" ht="12.75" customHeight="1">
      <c r="A65" s="46" t="s">
        <v>99</v>
      </c>
      <c r="B65" s="47" t="s">
        <v>100</v>
      </c>
      <c r="C65" s="48"/>
      <c r="D65" s="48"/>
      <c r="E65" s="87">
        <f t="array" ref="E65">SUM(IF(A65=KHN,TH))</f>
        <v>514476592</v>
      </c>
      <c r="F65" s="87">
        <f t="array" ref="F65">SUM(IF(A65=KHC,TH))</f>
        <v>514476592</v>
      </c>
      <c r="G65" s="48"/>
      <c r="H65" s="48"/>
      <c r="I65" s="32">
        <f t="shared" si="9"/>
        <v>0</v>
      </c>
    </row>
    <row r="66" spans="1:9" s="32" customFormat="1" ht="12.75" customHeight="1">
      <c r="A66" s="50" t="s">
        <v>594</v>
      </c>
      <c r="B66" s="47" t="s">
        <v>1372</v>
      </c>
      <c r="C66" s="48"/>
      <c r="D66" s="48"/>
      <c r="E66" s="87">
        <f t="array" ref="E66">SUM(IF(A66=KHN,TH))</f>
        <v>385702727</v>
      </c>
      <c r="F66" s="87">
        <f t="array" ref="F66">SUM(IF(A66=KHC,TH))</f>
        <v>385702727</v>
      </c>
      <c r="G66" s="48"/>
      <c r="H66" s="48"/>
      <c r="I66" s="32">
        <f>E66-F66</f>
        <v>0</v>
      </c>
    </row>
    <row r="67" spans="1:9" s="32" customFormat="1" ht="12.75" customHeight="1">
      <c r="A67" s="46" t="s">
        <v>101</v>
      </c>
      <c r="B67" s="47" t="s">
        <v>102</v>
      </c>
      <c r="C67" s="48"/>
      <c r="D67" s="48"/>
      <c r="E67" s="87">
        <f t="array" ref="E67">SUM(IF(A67=KHN,TH))</f>
        <v>446970452</v>
      </c>
      <c r="F67" s="87">
        <f t="array" ref="F67">SUM(IF(A67=KHC,TH))</f>
        <v>446970452</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f t="array" ref="E70">SUM(IF(A70=KHN,TH))</f>
        <v>0</v>
      </c>
      <c r="F70" s="87">
        <f t="array" ref="F70">SUM(IF(A70=KHC,TH))</f>
        <v>0</v>
      </c>
      <c r="G70" s="48"/>
      <c r="H70" s="48"/>
      <c r="I70" s="32">
        <f t="shared" si="9"/>
        <v>0</v>
      </c>
    </row>
    <row r="71" spans="1:9" s="32" customFormat="1">
      <c r="A71" s="46" t="s">
        <v>109</v>
      </c>
      <c r="B71" s="47" t="s">
        <v>110</v>
      </c>
      <c r="C71" s="48"/>
      <c r="D71" s="48"/>
      <c r="E71" s="88">
        <f t="array" ref="E71">SUM(IF(A71=KHN,TH))</f>
        <v>7906462443</v>
      </c>
      <c r="F71" s="88">
        <f t="array" ref="F71">SUM(IF(A71=TH!$O$10:$O$1166,TH!$M$10:$M$1166))</f>
        <v>14352391867</v>
      </c>
      <c r="G71" s="48"/>
      <c r="H71" s="48"/>
      <c r="I71" s="32">
        <f t="shared" si="9"/>
        <v>-6445929424</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174725796288.39999</v>
      </c>
      <c r="F72" s="54">
        <f t="shared" si="10"/>
        <v>172805142659.39999</v>
      </c>
      <c r="G72" s="54">
        <f t="shared" si="10"/>
        <v>62883737379</v>
      </c>
      <c r="H72" s="54">
        <f t="shared" si="10"/>
        <v>54517154326</v>
      </c>
    </row>
    <row r="73" spans="1:9">
      <c r="E73" s="55"/>
      <c r="F73" s="56"/>
    </row>
    <row r="74" spans="1:9">
      <c r="C74" s="32">
        <f>[1]CDPS!$G$69</f>
        <v>44151443527</v>
      </c>
      <c r="D74" s="32">
        <f>[1]CDPS!$G$69</f>
        <v>44151443527</v>
      </c>
      <c r="E74" s="56"/>
      <c r="H74" s="56">
        <f>G72-H72</f>
        <v>8366583053</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E1177"/>
  <sheetViews>
    <sheetView tabSelected="1" topLeftCell="C7" workbookViewId="0">
      <pane ySplit="3" topLeftCell="A1118" activePane="bottomLeft" state="frozen"/>
      <selection activeCell="A7" sqref="A7"/>
      <selection pane="bottomLeft" activeCell="E1134" sqref="E1134"/>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00" t="s">
        <v>112</v>
      </c>
      <c r="D4" s="1200"/>
      <c r="E4" s="1200"/>
      <c r="F4" s="1200"/>
      <c r="G4" s="1200"/>
      <c r="H4" s="1200"/>
      <c r="I4" s="1200"/>
      <c r="J4" s="1200"/>
      <c r="K4" s="1200"/>
      <c r="L4" s="1200"/>
      <c r="M4" s="1200"/>
      <c r="N4" s="1200"/>
      <c r="O4" s="1200"/>
    </row>
    <row r="5" spans="1:30" ht="14.25">
      <c r="B5" s="71"/>
      <c r="C5" s="1201"/>
      <c r="D5" s="1201"/>
      <c r="E5" s="1201"/>
      <c r="F5" s="1201"/>
      <c r="G5" s="1201"/>
      <c r="H5" s="1201"/>
      <c r="I5" s="1201"/>
      <c r="J5" s="1201"/>
      <c r="K5" s="1201"/>
      <c r="L5" s="1201"/>
      <c r="M5" s="1201"/>
      <c r="N5" s="1201"/>
      <c r="O5" s="1201"/>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10" t="s">
        <v>141</v>
      </c>
      <c r="B7" s="1212" t="s">
        <v>123</v>
      </c>
      <c r="C7" s="1202" t="s">
        <v>22</v>
      </c>
      <c r="D7" s="1203" t="s">
        <v>1</v>
      </c>
      <c r="E7" s="1204"/>
      <c r="F7" s="1202" t="s">
        <v>0</v>
      </c>
      <c r="G7" s="1206" t="s">
        <v>140</v>
      </c>
      <c r="H7" s="1214" t="s">
        <v>47</v>
      </c>
      <c r="I7" s="1219" t="s">
        <v>580</v>
      </c>
      <c r="J7" s="1220"/>
      <c r="K7" s="1202" t="s">
        <v>266</v>
      </c>
      <c r="L7" s="1202"/>
      <c r="M7" s="1202" t="s">
        <v>265</v>
      </c>
      <c r="N7" s="1205" t="s">
        <v>114</v>
      </c>
      <c r="O7" s="1205"/>
      <c r="P7" s="1217" t="s">
        <v>8</v>
      </c>
      <c r="Q7" s="1194" t="s">
        <v>63</v>
      </c>
      <c r="R7" s="1195"/>
      <c r="S7" s="1196"/>
      <c r="T7" s="1194" t="s">
        <v>67</v>
      </c>
      <c r="U7" s="1195"/>
      <c r="V7" s="1196"/>
      <c r="W7" s="1217" t="s">
        <v>42</v>
      </c>
      <c r="X7" s="1208" t="str">
        <f>CTTK!$E$7</f>
        <v>1388</v>
      </c>
      <c r="Y7" s="1208" t="s">
        <v>591</v>
      </c>
      <c r="Z7" s="1215" t="s">
        <v>226</v>
      </c>
      <c r="AA7" s="1194" t="s">
        <v>279</v>
      </c>
      <c r="AB7" s="1195"/>
      <c r="AC7" s="1195"/>
      <c r="AD7" s="1196"/>
    </row>
    <row r="8" spans="1:30" ht="24.75" customHeight="1">
      <c r="A8" s="1211"/>
      <c r="B8" s="1213"/>
      <c r="C8" s="1202"/>
      <c r="D8" s="340" t="s">
        <v>17</v>
      </c>
      <c r="E8" s="339" t="s">
        <v>34</v>
      </c>
      <c r="F8" s="1202"/>
      <c r="G8" s="1207"/>
      <c r="H8" s="1214"/>
      <c r="I8" s="455" t="s">
        <v>471</v>
      </c>
      <c r="J8" s="455" t="s">
        <v>472</v>
      </c>
      <c r="K8" s="433" t="s">
        <v>272</v>
      </c>
      <c r="L8" s="433" t="s">
        <v>270</v>
      </c>
      <c r="M8" s="1202"/>
      <c r="N8" s="341" t="s">
        <v>24</v>
      </c>
      <c r="O8" s="341" t="s">
        <v>25</v>
      </c>
      <c r="P8" s="1218"/>
      <c r="Q8" s="1197"/>
      <c r="R8" s="1198"/>
      <c r="S8" s="1199"/>
      <c r="T8" s="1197"/>
      <c r="U8" s="1198"/>
      <c r="V8" s="1199"/>
      <c r="W8" s="1218"/>
      <c r="X8" s="1209"/>
      <c r="Y8" s="1209"/>
      <c r="Z8" s="1216"/>
      <c r="AA8" s="1197"/>
      <c r="AB8" s="1198"/>
      <c r="AC8" s="1198"/>
      <c r="AD8" s="1199"/>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937</v>
      </c>
      <c r="G11" s="82"/>
      <c r="H11" s="83"/>
      <c r="I11" s="444"/>
      <c r="J11" s="444"/>
      <c r="K11" s="435"/>
      <c r="L11" s="444"/>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938</v>
      </c>
      <c r="G12" s="82"/>
      <c r="H12" s="83"/>
      <c r="I12" s="444"/>
      <c r="J12" s="444"/>
      <c r="K12" s="435"/>
      <c r="L12" s="444"/>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514476592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939</v>
      </c>
      <c r="G14" s="82"/>
      <c r="H14" s="83"/>
      <c r="I14" s="444"/>
      <c r="J14" s="444"/>
      <c r="K14" s="435"/>
      <c r="L14" s="444"/>
      <c r="M14" s="84">
        <f>SUMIF(KHN,O14,TH)</f>
        <v>385702727</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446970452</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56162078.400000855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940</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941</v>
      </c>
      <c r="G18" s="82"/>
      <c r="H18" s="83"/>
      <c r="I18" s="444"/>
      <c r="J18" s="444"/>
      <c r="K18" s="435"/>
      <c r="L18" s="444"/>
      <c r="M18" s="84">
        <f>SUMIF(KHC,N18,TH)</f>
        <v>14212894655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1383</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1384</v>
      </c>
      <c r="G22" s="82"/>
      <c r="H22" s="83"/>
      <c r="I22" s="444"/>
      <c r="J22" s="444"/>
      <c r="K22" s="435"/>
      <c r="L22" s="444"/>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1385</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1386</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585</v>
      </c>
      <c r="E25" s="878">
        <f t="shared" ref="E25:E34" si="3">C25</f>
        <v>42400</v>
      </c>
      <c r="F25" s="879" t="s">
        <v>1330</v>
      </c>
      <c r="G25" s="879"/>
      <c r="H25" s="74"/>
      <c r="I25" s="446"/>
      <c r="J25" s="446"/>
      <c r="K25" s="437"/>
      <c r="L25" s="446"/>
      <c r="M25" s="880">
        <v>10010706</v>
      </c>
      <c r="N25" s="884" t="s">
        <v>283</v>
      </c>
      <c r="O25" s="885"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585</v>
      </c>
      <c r="E26" s="878">
        <f t="shared" si="3"/>
        <v>42400</v>
      </c>
      <c r="F26" s="879" t="s">
        <v>1331</v>
      </c>
      <c r="G26" s="994"/>
      <c r="H26" s="73"/>
      <c r="I26" s="447"/>
      <c r="J26" s="447"/>
      <c r="K26" s="438"/>
      <c r="L26" s="447"/>
      <c r="M26" s="880">
        <v>3671167</v>
      </c>
      <c r="N26" s="886" t="s">
        <v>101</v>
      </c>
      <c r="O26" s="886"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585</v>
      </c>
      <c r="E27" s="878">
        <f t="shared" si="3"/>
        <v>42400</v>
      </c>
      <c r="F27" s="879" t="s">
        <v>1331</v>
      </c>
      <c r="G27" s="879"/>
      <c r="H27" s="73"/>
      <c r="I27" s="447"/>
      <c r="J27" s="447"/>
      <c r="K27" s="438"/>
      <c r="L27" s="447"/>
      <c r="M27" s="880">
        <v>47128136</v>
      </c>
      <c r="N27" s="886" t="s">
        <v>283</v>
      </c>
      <c r="O27" s="886"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585</v>
      </c>
      <c r="E28" s="878">
        <f t="shared" si="3"/>
        <v>42429</v>
      </c>
      <c r="F28" s="879" t="s">
        <v>1330</v>
      </c>
      <c r="G28" s="879"/>
      <c r="H28" s="74"/>
      <c r="I28" s="446"/>
      <c r="J28" s="446"/>
      <c r="K28" s="437"/>
      <c r="L28" s="446"/>
      <c r="M28" s="880">
        <v>10010706</v>
      </c>
      <c r="N28" s="884" t="s">
        <v>283</v>
      </c>
      <c r="O28" s="885"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585</v>
      </c>
      <c r="E29" s="878">
        <f t="shared" si="3"/>
        <v>42429</v>
      </c>
      <c r="F29" s="879" t="s">
        <v>1331</v>
      </c>
      <c r="G29" s="994"/>
      <c r="H29" s="73"/>
      <c r="I29" s="447"/>
      <c r="J29" s="447"/>
      <c r="K29" s="438"/>
      <c r="L29" s="447"/>
      <c r="M29" s="880">
        <v>3671167</v>
      </c>
      <c r="N29" s="886" t="s">
        <v>101</v>
      </c>
      <c r="O29" s="886"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585</v>
      </c>
      <c r="E30" s="878">
        <f t="shared" si="3"/>
        <v>42429</v>
      </c>
      <c r="F30" s="879" t="s">
        <v>1331</v>
      </c>
      <c r="G30" s="879"/>
      <c r="H30" s="73"/>
      <c r="I30" s="447"/>
      <c r="J30" s="447"/>
      <c r="K30" s="438"/>
      <c r="L30" s="447"/>
      <c r="M30" s="880">
        <v>47128136</v>
      </c>
      <c r="N30" s="886" t="s">
        <v>283</v>
      </c>
      <c r="O30" s="886"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585</v>
      </c>
      <c r="E31" s="878">
        <f t="shared" si="3"/>
        <v>42460</v>
      </c>
      <c r="F31" s="879" t="s">
        <v>1330</v>
      </c>
      <c r="G31" s="879"/>
      <c r="H31" s="74"/>
      <c r="I31" s="446"/>
      <c r="J31" s="446"/>
      <c r="K31" s="437"/>
      <c r="L31" s="446"/>
      <c r="M31" s="880">
        <v>10010706</v>
      </c>
      <c r="N31" s="884" t="s">
        <v>283</v>
      </c>
      <c r="O31" s="885"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585</v>
      </c>
      <c r="E32" s="878">
        <f t="shared" si="3"/>
        <v>42460</v>
      </c>
      <c r="F32" s="879" t="s">
        <v>1331</v>
      </c>
      <c r="G32" s="994"/>
      <c r="H32" s="73"/>
      <c r="I32" s="447"/>
      <c r="J32" s="447"/>
      <c r="K32" s="438"/>
      <c r="L32" s="447"/>
      <c r="M32" s="880">
        <v>3671167</v>
      </c>
      <c r="N32" s="886" t="s">
        <v>101</v>
      </c>
      <c r="O32" s="886"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585</v>
      </c>
      <c r="E33" s="878">
        <f t="shared" si="3"/>
        <v>42460</v>
      </c>
      <c r="F33" s="879" t="s">
        <v>1331</v>
      </c>
      <c r="G33" s="879"/>
      <c r="H33" s="73"/>
      <c r="I33" s="447"/>
      <c r="J33" s="447"/>
      <c r="K33" s="438"/>
      <c r="L33" s="447"/>
      <c r="M33" s="880">
        <v>47128136</v>
      </c>
      <c r="N33" s="886" t="s">
        <v>283</v>
      </c>
      <c r="O33" s="886"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585</v>
      </c>
      <c r="E34" s="881">
        <f t="shared" si="3"/>
        <v>42400</v>
      </c>
      <c r="F34" s="882" t="s">
        <v>1343</v>
      </c>
      <c r="G34" s="278">
        <v>37369000</v>
      </c>
      <c r="H34" s="322"/>
      <c r="I34" s="446"/>
      <c r="J34" s="446"/>
      <c r="K34" s="437"/>
      <c r="L34" s="446"/>
      <c r="M34" s="887">
        <v>36456640</v>
      </c>
      <c r="N34" s="888" t="s">
        <v>594</v>
      </c>
      <c r="O34" s="888"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585</v>
      </c>
      <c r="E35" s="881">
        <f t="shared" ref="E35:E47" si="4">C35</f>
        <v>42400</v>
      </c>
      <c r="F35" s="882" t="s">
        <v>1344</v>
      </c>
      <c r="G35" s="278">
        <v>111683000</v>
      </c>
      <c r="H35" s="322"/>
      <c r="I35" s="446"/>
      <c r="J35" s="446"/>
      <c r="K35" s="437"/>
      <c r="L35" s="446"/>
      <c r="M35" s="887">
        <v>119802600</v>
      </c>
      <c r="N35" s="888" t="s">
        <v>283</v>
      </c>
      <c r="O35" s="888"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585</v>
      </c>
      <c r="E36" s="881">
        <f t="shared" si="4"/>
        <v>42400</v>
      </c>
      <c r="F36" s="882" t="s">
        <v>1345</v>
      </c>
      <c r="G36" s="989" t="s">
        <v>586</v>
      </c>
      <c r="H36" s="322"/>
      <c r="I36" s="446"/>
      <c r="J36" s="446"/>
      <c r="K36" s="437"/>
      <c r="L36" s="446"/>
      <c r="M36" s="887">
        <f>G34*$G36</f>
        <v>2989520</v>
      </c>
      <c r="N36" s="888" t="s">
        <v>595</v>
      </c>
      <c r="O36" s="888"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585</v>
      </c>
      <c r="E37" s="881">
        <f t="shared" si="4"/>
        <v>42400</v>
      </c>
      <c r="F37" s="882" t="s">
        <v>1346</v>
      </c>
      <c r="G37" s="278"/>
      <c r="H37" s="322"/>
      <c r="I37" s="446"/>
      <c r="J37" s="446"/>
      <c r="K37" s="437"/>
      <c r="L37" s="446"/>
      <c r="M37" s="887">
        <f>G35*$G36</f>
        <v>8934640</v>
      </c>
      <c r="N37" s="889" t="s">
        <v>595</v>
      </c>
      <c r="O37" s="890"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585</v>
      </c>
      <c r="E38" s="881">
        <f t="shared" si="4"/>
        <v>42400</v>
      </c>
      <c r="F38" s="882" t="s">
        <v>1347</v>
      </c>
      <c r="G38" s="989" t="s">
        <v>587</v>
      </c>
      <c r="H38" s="322"/>
      <c r="I38" s="446"/>
      <c r="J38" s="446"/>
      <c r="K38" s="437"/>
      <c r="L38" s="446"/>
      <c r="M38" s="887">
        <f>G34*$G38</f>
        <v>6726420</v>
      </c>
      <c r="N38" s="888" t="s">
        <v>594</v>
      </c>
      <c r="O38" s="888"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585</v>
      </c>
      <c r="E39" s="881">
        <f t="shared" si="4"/>
        <v>42400</v>
      </c>
      <c r="F39" s="882" t="s">
        <v>1348</v>
      </c>
      <c r="G39" s="278"/>
      <c r="H39" s="322"/>
      <c r="I39" s="446"/>
      <c r="J39" s="446"/>
      <c r="K39" s="437"/>
      <c r="L39" s="446"/>
      <c r="M39" s="887">
        <f>G35*$G38</f>
        <v>20102940</v>
      </c>
      <c r="N39" s="888" t="s">
        <v>283</v>
      </c>
      <c r="O39" s="888"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585</v>
      </c>
      <c r="E40" s="881">
        <f t="shared" si="4"/>
        <v>42400</v>
      </c>
      <c r="F40" s="882" t="s">
        <v>1349</v>
      </c>
      <c r="G40" s="989" t="s">
        <v>588</v>
      </c>
      <c r="H40" s="324"/>
      <c r="I40" s="444"/>
      <c r="J40" s="444"/>
      <c r="K40" s="435"/>
      <c r="L40" s="444"/>
      <c r="M40" s="887">
        <f>G34*$G40</f>
        <v>560535</v>
      </c>
      <c r="N40" s="888" t="s">
        <v>595</v>
      </c>
      <c r="O40" s="888"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585</v>
      </c>
      <c r="E41" s="881">
        <f t="shared" si="4"/>
        <v>42400</v>
      </c>
      <c r="F41" s="882" t="s">
        <v>1350</v>
      </c>
      <c r="G41" s="278"/>
      <c r="H41" s="324"/>
      <c r="I41" s="444"/>
      <c r="J41" s="444"/>
      <c r="K41" s="435"/>
      <c r="L41" s="444"/>
      <c r="M41" s="887">
        <f>G35*$G40</f>
        <v>1675245</v>
      </c>
      <c r="N41" s="888" t="s">
        <v>595</v>
      </c>
      <c r="O41" s="888"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585</v>
      </c>
      <c r="E42" s="881">
        <f t="shared" si="4"/>
        <v>42400</v>
      </c>
      <c r="F42" s="882" t="s">
        <v>1351</v>
      </c>
      <c r="G42" s="989" t="s">
        <v>589</v>
      </c>
      <c r="H42" s="322"/>
      <c r="I42" s="446"/>
      <c r="J42" s="446"/>
      <c r="K42" s="437"/>
      <c r="L42" s="446"/>
      <c r="M42" s="887">
        <f>G34*$G42</f>
        <v>1121070</v>
      </c>
      <c r="N42" s="888" t="s">
        <v>594</v>
      </c>
      <c r="O42" s="888"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585</v>
      </c>
      <c r="E43" s="881">
        <f t="shared" si="4"/>
        <v>42400</v>
      </c>
      <c r="F43" s="882" t="s">
        <v>1352</v>
      </c>
      <c r="G43" s="278"/>
      <c r="H43" s="322"/>
      <c r="I43" s="446"/>
      <c r="J43" s="446"/>
      <c r="K43" s="437"/>
      <c r="L43" s="446"/>
      <c r="M43" s="887">
        <f>G35*$G42</f>
        <v>3350490</v>
      </c>
      <c r="N43" s="888" t="s">
        <v>283</v>
      </c>
      <c r="O43" s="888"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585</v>
      </c>
      <c r="E44" s="881">
        <f t="shared" si="4"/>
        <v>42400</v>
      </c>
      <c r="F44" s="882" t="s">
        <v>1353</v>
      </c>
      <c r="G44" s="989" t="s">
        <v>590</v>
      </c>
      <c r="H44" s="322"/>
      <c r="I44" s="446"/>
      <c r="J44" s="446"/>
      <c r="K44" s="437"/>
      <c r="L44" s="446"/>
      <c r="M44" s="887">
        <f>G34*$G44</f>
        <v>373690</v>
      </c>
      <c r="N44" s="888" t="s">
        <v>595</v>
      </c>
      <c r="O44" s="888"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585</v>
      </c>
      <c r="E45" s="881">
        <f t="shared" si="4"/>
        <v>42400</v>
      </c>
      <c r="F45" s="882" t="s">
        <v>1354</v>
      </c>
      <c r="G45" s="278"/>
      <c r="H45" s="322"/>
      <c r="I45" s="446"/>
      <c r="J45" s="446"/>
      <c r="K45" s="437"/>
      <c r="L45" s="446"/>
      <c r="M45" s="887">
        <f>G35*$G44</f>
        <v>1116830</v>
      </c>
      <c r="N45" s="888" t="s">
        <v>595</v>
      </c>
      <c r="O45" s="888"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585</v>
      </c>
      <c r="E46" s="881">
        <f t="shared" si="4"/>
        <v>42400</v>
      </c>
      <c r="F46" s="882" t="s">
        <v>1355</v>
      </c>
      <c r="G46" s="989" t="s">
        <v>590</v>
      </c>
      <c r="H46" s="1146"/>
      <c r="I46" s="447"/>
      <c r="J46" s="447"/>
      <c r="K46" s="438"/>
      <c r="L46" s="447"/>
      <c r="M46" s="887">
        <f>M44</f>
        <v>373690</v>
      </c>
      <c r="N46" s="888" t="s">
        <v>594</v>
      </c>
      <c r="O46" s="888"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585</v>
      </c>
      <c r="E47" s="881">
        <f t="shared" si="4"/>
        <v>42400</v>
      </c>
      <c r="F47" s="882" t="s">
        <v>1356</v>
      </c>
      <c r="G47" s="278"/>
      <c r="H47" s="322"/>
      <c r="I47" s="446"/>
      <c r="J47" s="446"/>
      <c r="K47" s="437"/>
      <c r="L47" s="446"/>
      <c r="M47" s="887">
        <f>M45</f>
        <v>1116830</v>
      </c>
      <c r="N47" s="888" t="s">
        <v>283</v>
      </c>
      <c r="O47" s="888"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585</v>
      </c>
      <c r="E48" s="881">
        <f>C48</f>
        <v>42429</v>
      </c>
      <c r="F48" s="882" t="s">
        <v>1343</v>
      </c>
      <c r="G48" s="278">
        <v>37369000</v>
      </c>
      <c r="H48" s="322"/>
      <c r="I48" s="446"/>
      <c r="J48" s="446"/>
      <c r="K48" s="437"/>
      <c r="L48" s="446"/>
      <c r="M48" s="887">
        <v>31803952</v>
      </c>
      <c r="N48" s="888" t="s">
        <v>594</v>
      </c>
      <c r="O48" s="888"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585</v>
      </c>
      <c r="E49" s="881">
        <f t="shared" ref="E49:E68" si="5">C49</f>
        <v>42429</v>
      </c>
      <c r="F49" s="882" t="s">
        <v>1344</v>
      </c>
      <c r="G49" s="278">
        <v>108366000</v>
      </c>
      <c r="H49" s="322"/>
      <c r="I49" s="446"/>
      <c r="J49" s="446"/>
      <c r="K49" s="437"/>
      <c r="L49" s="446"/>
      <c r="M49" s="887">
        <v>97552760</v>
      </c>
      <c r="N49" s="888" t="s">
        <v>283</v>
      </c>
      <c r="O49" s="888"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585</v>
      </c>
      <c r="E50" s="881">
        <f t="shared" si="5"/>
        <v>42429</v>
      </c>
      <c r="F50" s="882" t="s">
        <v>1345</v>
      </c>
      <c r="G50" s="989" t="s">
        <v>586</v>
      </c>
      <c r="H50" s="322"/>
      <c r="I50" s="446"/>
      <c r="J50" s="446"/>
      <c r="K50" s="437"/>
      <c r="L50" s="446"/>
      <c r="M50" s="887">
        <f>G48*$G50</f>
        <v>2989520</v>
      </c>
      <c r="N50" s="888" t="s">
        <v>595</v>
      </c>
      <c r="O50" s="888"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585</v>
      </c>
      <c r="E51" s="881">
        <f t="shared" si="5"/>
        <v>42429</v>
      </c>
      <c r="F51" s="882" t="s">
        <v>1346</v>
      </c>
      <c r="G51" s="278"/>
      <c r="H51" s="322"/>
      <c r="I51" s="446"/>
      <c r="J51" s="446"/>
      <c r="K51" s="437"/>
      <c r="L51" s="446"/>
      <c r="M51" s="887">
        <f>G49*$G50</f>
        <v>8669280</v>
      </c>
      <c r="N51" s="889" t="s">
        <v>595</v>
      </c>
      <c r="O51" s="890"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585</v>
      </c>
      <c r="E52" s="881">
        <f t="shared" si="5"/>
        <v>42429</v>
      </c>
      <c r="F52" s="882" t="s">
        <v>1347</v>
      </c>
      <c r="G52" s="989" t="s">
        <v>587</v>
      </c>
      <c r="H52" s="322"/>
      <c r="I52" s="446"/>
      <c r="J52" s="446"/>
      <c r="K52" s="437"/>
      <c r="L52" s="446"/>
      <c r="M52" s="887">
        <f>G48*$G52</f>
        <v>6726420</v>
      </c>
      <c r="N52" s="888" t="s">
        <v>594</v>
      </c>
      <c r="O52" s="888"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585</v>
      </c>
      <c r="E53" s="881">
        <f t="shared" si="5"/>
        <v>42429</v>
      </c>
      <c r="F53" s="882" t="s">
        <v>1348</v>
      </c>
      <c r="G53" s="278"/>
      <c r="H53" s="322"/>
      <c r="I53" s="446"/>
      <c r="J53" s="446"/>
      <c r="K53" s="437"/>
      <c r="L53" s="446"/>
      <c r="M53" s="887">
        <f>G49*$G52</f>
        <v>19505880</v>
      </c>
      <c r="N53" s="888" t="s">
        <v>283</v>
      </c>
      <c r="O53" s="888"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585</v>
      </c>
      <c r="E54" s="881">
        <f t="shared" si="5"/>
        <v>42429</v>
      </c>
      <c r="F54" s="882" t="s">
        <v>1349</v>
      </c>
      <c r="G54" s="989" t="s">
        <v>588</v>
      </c>
      <c r="H54" s="324"/>
      <c r="I54" s="444"/>
      <c r="J54" s="444"/>
      <c r="K54" s="435"/>
      <c r="L54" s="444"/>
      <c r="M54" s="887">
        <f>G48*$G54</f>
        <v>560535</v>
      </c>
      <c r="N54" s="888" t="s">
        <v>595</v>
      </c>
      <c r="O54" s="888"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585</v>
      </c>
      <c r="E55" s="881">
        <f t="shared" si="5"/>
        <v>42429</v>
      </c>
      <c r="F55" s="882" t="s">
        <v>1350</v>
      </c>
      <c r="G55" s="278"/>
      <c r="H55" s="324"/>
      <c r="I55" s="444"/>
      <c r="J55" s="444"/>
      <c r="K55" s="435"/>
      <c r="L55" s="444"/>
      <c r="M55" s="887">
        <f>G49*$G54</f>
        <v>1625490</v>
      </c>
      <c r="N55" s="888" t="s">
        <v>595</v>
      </c>
      <c r="O55" s="888"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585</v>
      </c>
      <c r="E56" s="881">
        <f t="shared" si="5"/>
        <v>42429</v>
      </c>
      <c r="F56" s="882" t="s">
        <v>1351</v>
      </c>
      <c r="G56" s="989" t="s">
        <v>589</v>
      </c>
      <c r="H56" s="322"/>
      <c r="I56" s="446"/>
      <c r="J56" s="446"/>
      <c r="K56" s="437"/>
      <c r="L56" s="446"/>
      <c r="M56" s="887">
        <f>G48*$G56</f>
        <v>1121070</v>
      </c>
      <c r="N56" s="888" t="s">
        <v>594</v>
      </c>
      <c r="O56" s="888"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585</v>
      </c>
      <c r="E57" s="881">
        <f t="shared" si="5"/>
        <v>42429</v>
      </c>
      <c r="F57" s="882" t="s">
        <v>1352</v>
      </c>
      <c r="G57" s="278"/>
      <c r="H57" s="322"/>
      <c r="I57" s="446"/>
      <c r="J57" s="446"/>
      <c r="K57" s="437"/>
      <c r="L57" s="446"/>
      <c r="M57" s="887">
        <f>G49*$G56</f>
        <v>3250980</v>
      </c>
      <c r="N57" s="888" t="s">
        <v>283</v>
      </c>
      <c r="O57" s="888"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585</v>
      </c>
      <c r="E58" s="881">
        <f t="shared" si="5"/>
        <v>42429</v>
      </c>
      <c r="F58" s="882" t="s">
        <v>1353</v>
      </c>
      <c r="G58" s="989" t="s">
        <v>590</v>
      </c>
      <c r="H58" s="322"/>
      <c r="I58" s="446"/>
      <c r="J58" s="446"/>
      <c r="K58" s="437"/>
      <c r="L58" s="446"/>
      <c r="M58" s="887">
        <f>G48*$G58</f>
        <v>373690</v>
      </c>
      <c r="N58" s="888" t="s">
        <v>595</v>
      </c>
      <c r="O58" s="888"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585</v>
      </c>
      <c r="E59" s="881">
        <f t="shared" si="5"/>
        <v>42429</v>
      </c>
      <c r="F59" s="882" t="s">
        <v>1354</v>
      </c>
      <c r="G59" s="278"/>
      <c r="H59" s="322"/>
      <c r="I59" s="446"/>
      <c r="J59" s="446"/>
      <c r="K59" s="437"/>
      <c r="L59" s="446"/>
      <c r="M59" s="887">
        <f>G49*$G58</f>
        <v>1083660</v>
      </c>
      <c r="N59" s="888" t="s">
        <v>595</v>
      </c>
      <c r="O59" s="888"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585</v>
      </c>
      <c r="E60" s="881">
        <f t="shared" si="5"/>
        <v>42429</v>
      </c>
      <c r="F60" s="882" t="s">
        <v>1355</v>
      </c>
      <c r="G60" s="989" t="s">
        <v>590</v>
      </c>
      <c r="H60" s="1146"/>
      <c r="I60" s="447"/>
      <c r="J60" s="447"/>
      <c r="K60" s="438"/>
      <c r="L60" s="447"/>
      <c r="M60" s="887">
        <f>M58</f>
        <v>373690</v>
      </c>
      <c r="N60" s="888" t="s">
        <v>594</v>
      </c>
      <c r="O60" s="888"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585</v>
      </c>
      <c r="E61" s="881">
        <f t="shared" si="5"/>
        <v>42429</v>
      </c>
      <c r="F61" s="882" t="s">
        <v>1356</v>
      </c>
      <c r="G61" s="278"/>
      <c r="H61" s="322"/>
      <c r="I61" s="446"/>
      <c r="J61" s="446"/>
      <c r="K61" s="437"/>
      <c r="L61" s="446"/>
      <c r="M61" s="887">
        <f>M59</f>
        <v>1083660</v>
      </c>
      <c r="N61" s="888" t="s">
        <v>283</v>
      </c>
      <c r="O61" s="888"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585</v>
      </c>
      <c r="E62" s="881">
        <f t="shared" si="5"/>
        <v>42460</v>
      </c>
      <c r="F62" s="882" t="s">
        <v>1343</v>
      </c>
      <c r="G62" s="278">
        <v>37369000</v>
      </c>
      <c r="H62" s="322"/>
      <c r="I62" s="446"/>
      <c r="J62" s="446"/>
      <c r="K62" s="437"/>
      <c r="L62" s="446"/>
      <c r="M62" s="887">
        <v>37691667</v>
      </c>
      <c r="N62" s="888" t="s">
        <v>594</v>
      </c>
      <c r="O62" s="888"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585</v>
      </c>
      <c r="E63" s="881">
        <f t="shared" si="5"/>
        <v>42460</v>
      </c>
      <c r="F63" s="882" t="s">
        <v>1344</v>
      </c>
      <c r="G63" s="278">
        <v>108366000</v>
      </c>
      <c r="H63" s="322"/>
      <c r="I63" s="446"/>
      <c r="J63" s="446"/>
      <c r="K63" s="437"/>
      <c r="L63" s="446"/>
      <c r="M63" s="887">
        <v>118338627</v>
      </c>
      <c r="N63" s="888" t="s">
        <v>283</v>
      </c>
      <c r="O63" s="888"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585</v>
      </c>
      <c r="E64" s="881">
        <f t="shared" si="5"/>
        <v>42460</v>
      </c>
      <c r="F64" s="882" t="s">
        <v>1345</v>
      </c>
      <c r="G64" s="989" t="s">
        <v>586</v>
      </c>
      <c r="H64" s="322"/>
      <c r="I64" s="446"/>
      <c r="J64" s="446"/>
      <c r="K64" s="437"/>
      <c r="L64" s="446"/>
      <c r="M64" s="887">
        <f>G62*$G64</f>
        <v>2989520</v>
      </c>
      <c r="N64" s="888" t="s">
        <v>595</v>
      </c>
      <c r="O64" s="888"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585</v>
      </c>
      <c r="E65" s="881">
        <f t="shared" si="5"/>
        <v>42460</v>
      </c>
      <c r="F65" s="882" t="s">
        <v>1346</v>
      </c>
      <c r="G65" s="278"/>
      <c r="H65" s="322"/>
      <c r="I65" s="446"/>
      <c r="J65" s="446"/>
      <c r="K65" s="437"/>
      <c r="L65" s="446"/>
      <c r="M65" s="887">
        <f>G63*$G64</f>
        <v>8669280</v>
      </c>
      <c r="N65" s="889" t="s">
        <v>595</v>
      </c>
      <c r="O65" s="890"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585</v>
      </c>
      <c r="E66" s="881">
        <f t="shared" si="5"/>
        <v>42460</v>
      </c>
      <c r="F66" s="882" t="s">
        <v>1347</v>
      </c>
      <c r="G66" s="989" t="s">
        <v>587</v>
      </c>
      <c r="H66" s="322"/>
      <c r="I66" s="446"/>
      <c r="J66" s="446"/>
      <c r="K66" s="437"/>
      <c r="L66" s="446"/>
      <c r="M66" s="887">
        <f>G62*$G66</f>
        <v>6726420</v>
      </c>
      <c r="N66" s="888" t="s">
        <v>594</v>
      </c>
      <c r="O66" s="888"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585</v>
      </c>
      <c r="E67" s="881">
        <f t="shared" si="5"/>
        <v>42460</v>
      </c>
      <c r="F67" s="882" t="s">
        <v>1348</v>
      </c>
      <c r="G67" s="278"/>
      <c r="H67" s="322"/>
      <c r="I67" s="446"/>
      <c r="J67" s="446"/>
      <c r="K67" s="437"/>
      <c r="L67" s="446"/>
      <c r="M67" s="887">
        <f>G63*$G66</f>
        <v>19505880</v>
      </c>
      <c r="N67" s="888" t="s">
        <v>283</v>
      </c>
      <c r="O67" s="888"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585</v>
      </c>
      <c r="E68" s="881">
        <f t="shared" si="5"/>
        <v>42460</v>
      </c>
      <c r="F68" s="882" t="s">
        <v>1349</v>
      </c>
      <c r="G68" s="989" t="s">
        <v>588</v>
      </c>
      <c r="H68" s="324"/>
      <c r="I68" s="444"/>
      <c r="J68" s="444"/>
      <c r="K68" s="435"/>
      <c r="L68" s="444"/>
      <c r="M68" s="887">
        <f>G62*$G68</f>
        <v>560535</v>
      </c>
      <c r="N68" s="888" t="s">
        <v>595</v>
      </c>
      <c r="O68" s="888"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585</v>
      </c>
      <c r="E69" s="881">
        <f>C69</f>
        <v>42460</v>
      </c>
      <c r="F69" s="882" t="s">
        <v>1350</v>
      </c>
      <c r="G69" s="278"/>
      <c r="H69" s="324"/>
      <c r="I69" s="444"/>
      <c r="J69" s="444"/>
      <c r="K69" s="435"/>
      <c r="L69" s="444"/>
      <c r="M69" s="887">
        <f>G63*$G68</f>
        <v>1625490</v>
      </c>
      <c r="N69" s="888" t="s">
        <v>595</v>
      </c>
      <c r="O69" s="888"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585</v>
      </c>
      <c r="E70" s="881">
        <f t="shared" ref="E70:E75" si="6">C70</f>
        <v>42460</v>
      </c>
      <c r="F70" s="882" t="s">
        <v>1351</v>
      </c>
      <c r="G70" s="989" t="s">
        <v>589</v>
      </c>
      <c r="H70" s="322"/>
      <c r="I70" s="446"/>
      <c r="J70" s="446"/>
      <c r="K70" s="437"/>
      <c r="L70" s="446"/>
      <c r="M70" s="887">
        <f>G62*$G70</f>
        <v>1121070</v>
      </c>
      <c r="N70" s="888" t="s">
        <v>594</v>
      </c>
      <c r="O70" s="888"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585</v>
      </c>
      <c r="E71" s="881">
        <f t="shared" si="6"/>
        <v>42460</v>
      </c>
      <c r="F71" s="882" t="s">
        <v>1352</v>
      </c>
      <c r="G71" s="278"/>
      <c r="H71" s="322"/>
      <c r="I71" s="446"/>
      <c r="J71" s="446"/>
      <c r="K71" s="437"/>
      <c r="L71" s="446"/>
      <c r="M71" s="887">
        <f>G63*$G70</f>
        <v>3250980</v>
      </c>
      <c r="N71" s="888" t="s">
        <v>283</v>
      </c>
      <c r="O71" s="888"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585</v>
      </c>
      <c r="E72" s="881">
        <f t="shared" si="6"/>
        <v>42460</v>
      </c>
      <c r="F72" s="882" t="s">
        <v>1353</v>
      </c>
      <c r="G72" s="989" t="s">
        <v>590</v>
      </c>
      <c r="H72" s="322"/>
      <c r="I72" s="446"/>
      <c r="J72" s="446"/>
      <c r="K72" s="437"/>
      <c r="L72" s="446"/>
      <c r="M72" s="887">
        <f>G62*$G72</f>
        <v>373690</v>
      </c>
      <c r="N72" s="888" t="s">
        <v>595</v>
      </c>
      <c r="O72" s="888"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585</v>
      </c>
      <c r="E73" s="881">
        <f t="shared" si="6"/>
        <v>42460</v>
      </c>
      <c r="F73" s="882" t="s">
        <v>1354</v>
      </c>
      <c r="G73" s="278"/>
      <c r="H73" s="322"/>
      <c r="I73" s="446"/>
      <c r="J73" s="446"/>
      <c r="K73" s="437"/>
      <c r="L73" s="446"/>
      <c r="M73" s="887">
        <f>G63*$G72</f>
        <v>1083660</v>
      </c>
      <c r="N73" s="888" t="s">
        <v>595</v>
      </c>
      <c r="O73" s="888"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585</v>
      </c>
      <c r="E74" s="881">
        <f t="shared" si="6"/>
        <v>42460</v>
      </c>
      <c r="F74" s="882" t="s">
        <v>1355</v>
      </c>
      <c r="G74" s="989" t="s">
        <v>590</v>
      </c>
      <c r="H74" s="1146"/>
      <c r="I74" s="447"/>
      <c r="J74" s="447"/>
      <c r="K74" s="438"/>
      <c r="L74" s="447"/>
      <c r="M74" s="887">
        <f>M72</f>
        <v>373690</v>
      </c>
      <c r="N74" s="888" t="s">
        <v>594</v>
      </c>
      <c r="O74" s="888"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585</v>
      </c>
      <c r="E75" s="881">
        <f t="shared" si="6"/>
        <v>42460</v>
      </c>
      <c r="F75" s="882" t="s">
        <v>1356</v>
      </c>
      <c r="G75" s="278"/>
      <c r="H75" s="322"/>
      <c r="I75" s="446"/>
      <c r="J75" s="446"/>
      <c r="K75" s="437"/>
      <c r="L75" s="446"/>
      <c r="M75" s="887">
        <f>M73</f>
        <v>1083660</v>
      </c>
      <c r="N75" s="888" t="s">
        <v>283</v>
      </c>
      <c r="O75" s="888"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599</v>
      </c>
      <c r="E76" s="875">
        <f>C76</f>
        <v>42395</v>
      </c>
      <c r="F76" s="876" t="s">
        <v>583</v>
      </c>
      <c r="G76" s="992" t="s">
        <v>620</v>
      </c>
      <c r="H76" s="984" t="s">
        <v>604</v>
      </c>
      <c r="I76" s="985">
        <v>7100</v>
      </c>
      <c r="J76" s="987">
        <v>11.2</v>
      </c>
      <c r="K76" s="986">
        <v>79520</v>
      </c>
      <c r="L76" s="985">
        <v>22365</v>
      </c>
      <c r="M76" s="877">
        <v>1778464800</v>
      </c>
      <c r="N76" s="883" t="s">
        <v>591</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600</v>
      </c>
      <c r="E77" s="875">
        <f>C77</f>
        <v>42395</v>
      </c>
      <c r="F77" s="876" t="s">
        <v>584</v>
      </c>
      <c r="G77" s="992" t="s">
        <v>621</v>
      </c>
      <c r="H77" s="984" t="s">
        <v>601</v>
      </c>
      <c r="I77" s="985">
        <v>4800</v>
      </c>
      <c r="J77" s="987">
        <v>8.6999999999999993</v>
      </c>
      <c r="K77" s="986">
        <v>41760</v>
      </c>
      <c r="L77" s="985">
        <v>22365</v>
      </c>
      <c r="M77" s="877">
        <v>933962400</v>
      </c>
      <c r="N77" s="883" t="s">
        <v>591</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1006</v>
      </c>
      <c r="E78" s="875">
        <f>C78</f>
        <v>42402</v>
      </c>
      <c r="F78" s="876" t="s">
        <v>453</v>
      </c>
      <c r="G78" s="993" t="s">
        <v>1007</v>
      </c>
      <c r="H78" s="984" t="s">
        <v>602</v>
      </c>
      <c r="I78" s="985">
        <v>12000</v>
      </c>
      <c r="J78" s="987">
        <v>8.58</v>
      </c>
      <c r="K78" s="986">
        <f>I78*J78</f>
        <v>102960</v>
      </c>
      <c r="L78" s="985">
        <v>22215</v>
      </c>
      <c r="M78" s="877">
        <f>ROUND(K78*L78,0)</f>
        <v>2287256400</v>
      </c>
      <c r="N78" s="883" t="s">
        <v>591</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1006</v>
      </c>
      <c r="E79" s="875">
        <f>C79</f>
        <v>42443</v>
      </c>
      <c r="F79" s="876" t="s">
        <v>453</v>
      </c>
      <c r="G79" s="993" t="s">
        <v>1008</v>
      </c>
      <c r="H79" s="984" t="s">
        <v>602</v>
      </c>
      <c r="I79" s="985">
        <v>12500</v>
      </c>
      <c r="J79" s="987">
        <v>8.43</v>
      </c>
      <c r="K79" s="986">
        <f>I79*J79</f>
        <v>105375</v>
      </c>
      <c r="L79" s="985">
        <v>22255</v>
      </c>
      <c r="M79" s="877">
        <f>ROUND(K79*L79,0)</f>
        <v>2345120625</v>
      </c>
      <c r="N79" s="883" t="s">
        <v>591</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702</v>
      </c>
      <c r="E80" s="81">
        <v>42389</v>
      </c>
      <c r="F80" s="82" t="s">
        <v>452</v>
      </c>
      <c r="G80" s="82"/>
      <c r="H80" s="83" t="s">
        <v>700</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703</v>
      </c>
      <c r="E81" s="81">
        <v>42393</v>
      </c>
      <c r="F81" s="82" t="s">
        <v>454</v>
      </c>
      <c r="G81" s="82"/>
      <c r="H81" s="83" t="s">
        <v>700</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704</v>
      </c>
      <c r="E82" s="81">
        <v>42400</v>
      </c>
      <c r="F82" s="82" t="s">
        <v>453</v>
      </c>
      <c r="G82" s="82"/>
      <c r="H82" s="83" t="s">
        <v>700</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599</v>
      </c>
      <c r="E83" s="81">
        <v>42395</v>
      </c>
      <c r="F83" s="82" t="s">
        <v>452</v>
      </c>
      <c r="G83" s="82"/>
      <c r="H83" s="83" t="s">
        <v>604</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600</v>
      </c>
      <c r="E84" s="81">
        <v>42395</v>
      </c>
      <c r="F84" s="82" t="s">
        <v>454</v>
      </c>
      <c r="G84" s="82"/>
      <c r="H84" s="83" t="s">
        <v>601</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599</v>
      </c>
      <c r="E85" s="81">
        <v>42402</v>
      </c>
      <c r="F85" s="82" t="s">
        <v>453</v>
      </c>
      <c r="G85" s="82"/>
      <c r="H85" s="975" t="s">
        <v>602</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702</v>
      </c>
      <c r="E86" s="81">
        <v>42429</v>
      </c>
      <c r="F86" s="82" t="s">
        <v>453</v>
      </c>
      <c r="G86" s="82"/>
      <c r="H86" s="83" t="s">
        <v>701</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599</v>
      </c>
      <c r="E87" s="81">
        <v>42430</v>
      </c>
      <c r="F87" s="82" t="s">
        <v>453</v>
      </c>
      <c r="G87" s="82"/>
      <c r="H87" s="83" t="s">
        <v>700</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702</v>
      </c>
      <c r="E88" s="81">
        <v>42441</v>
      </c>
      <c r="F88" s="82" t="s">
        <v>453</v>
      </c>
      <c r="G88" s="82"/>
      <c r="H88" s="83" t="s">
        <v>700</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702</v>
      </c>
      <c r="E89" s="81">
        <v>42441</v>
      </c>
      <c r="F89" s="82" t="s">
        <v>453</v>
      </c>
      <c r="G89" s="82"/>
      <c r="H89" s="83" t="s">
        <v>700</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703</v>
      </c>
      <c r="E90" s="81">
        <f>C90</f>
        <v>42459</v>
      </c>
      <c r="F90" s="82" t="s">
        <v>454</v>
      </c>
      <c r="G90" s="82"/>
      <c r="H90" s="83" t="s">
        <v>701</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600</v>
      </c>
      <c r="E91" s="81">
        <v>42443</v>
      </c>
      <c r="F91" s="82" t="s">
        <v>453</v>
      </c>
      <c r="G91" s="82"/>
      <c r="H91" s="975" t="s">
        <v>602</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600</v>
      </c>
      <c r="E92" s="81">
        <v>42443</v>
      </c>
      <c r="F92" s="82" t="s">
        <v>453</v>
      </c>
      <c r="G92" s="82"/>
      <c r="H92" s="975" t="s">
        <v>602</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680</v>
      </c>
      <c r="E93" s="64">
        <v>42374</v>
      </c>
      <c r="F93" s="67" t="s">
        <v>349</v>
      </c>
      <c r="G93" s="995" t="s">
        <v>673</v>
      </c>
      <c r="H93" s="74" t="s">
        <v>678</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680</v>
      </c>
      <c r="E94" s="64">
        <v>42374</v>
      </c>
      <c r="F94" s="67" t="s">
        <v>652</v>
      </c>
      <c r="G94" s="995" t="s">
        <v>673</v>
      </c>
      <c r="H94" s="74" t="s">
        <v>678</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681</v>
      </c>
      <c r="E95" s="64">
        <v>42374</v>
      </c>
      <c r="F95" s="67" t="s">
        <v>364</v>
      </c>
      <c r="G95" s="67" t="s">
        <v>675</v>
      </c>
      <c r="H95" s="74" t="s">
        <v>679</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681</v>
      </c>
      <c r="E96" s="64">
        <v>42374</v>
      </c>
      <c r="F96" s="67" t="s">
        <v>653</v>
      </c>
      <c r="G96" s="67" t="s">
        <v>675</v>
      </c>
      <c r="H96" s="74" t="s">
        <v>679</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682</v>
      </c>
      <c r="E97" s="64">
        <v>42375</v>
      </c>
      <c r="F97" s="67" t="s">
        <v>357</v>
      </c>
      <c r="G97" s="995" t="s">
        <v>675</v>
      </c>
      <c r="H97" s="74" t="s">
        <v>629</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682</v>
      </c>
      <c r="E98" s="64">
        <v>42375</v>
      </c>
      <c r="F98" s="67" t="s">
        <v>654</v>
      </c>
      <c r="G98" s="995" t="s">
        <v>675</v>
      </c>
      <c r="H98" s="74" t="s">
        <v>629</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683</v>
      </c>
      <c r="E99" s="64">
        <v>42383</v>
      </c>
      <c r="F99" s="67" t="s">
        <v>391</v>
      </c>
      <c r="G99" s="67" t="s">
        <v>676</v>
      </c>
      <c r="H99" s="74" t="s">
        <v>627</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683</v>
      </c>
      <c r="E100" s="64">
        <v>42383</v>
      </c>
      <c r="F100" s="67" t="s">
        <v>393</v>
      </c>
      <c r="G100" s="67" t="s">
        <v>676</v>
      </c>
      <c r="H100" s="74" t="s">
        <v>627</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683</v>
      </c>
      <c r="E101" s="64">
        <v>42383</v>
      </c>
      <c r="F101" s="67" t="s">
        <v>395</v>
      </c>
      <c r="G101" s="67" t="s">
        <v>676</v>
      </c>
      <c r="H101" s="74" t="s">
        <v>627</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683</v>
      </c>
      <c r="E102" s="64">
        <v>42383</v>
      </c>
      <c r="F102" s="67" t="s">
        <v>1102</v>
      </c>
      <c r="G102" s="67" t="s">
        <v>676</v>
      </c>
      <c r="H102" s="74" t="s">
        <v>627</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683</v>
      </c>
      <c r="E103" s="64">
        <v>42383</v>
      </c>
      <c r="F103" s="67" t="s">
        <v>402</v>
      </c>
      <c r="G103" s="67" t="s">
        <v>676</v>
      </c>
      <c r="H103" s="74" t="s">
        <v>627</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683</v>
      </c>
      <c r="E104" s="64">
        <v>42383</v>
      </c>
      <c r="F104" s="67" t="s">
        <v>655</v>
      </c>
      <c r="G104" s="67" t="s">
        <v>676</v>
      </c>
      <c r="H104" s="74" t="s">
        <v>627</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684</v>
      </c>
      <c r="E105" s="64">
        <v>42387</v>
      </c>
      <c r="F105" s="67" t="s">
        <v>349</v>
      </c>
      <c r="G105" s="995" t="s">
        <v>674</v>
      </c>
      <c r="H105" s="74" t="s">
        <v>678</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684</v>
      </c>
      <c r="E106" s="64">
        <v>42387</v>
      </c>
      <c r="F106" s="67" t="s">
        <v>652</v>
      </c>
      <c r="G106" s="67" t="s">
        <v>674</v>
      </c>
      <c r="H106" s="74" t="s">
        <v>678</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685</v>
      </c>
      <c r="E107" s="64">
        <v>42391</v>
      </c>
      <c r="F107" s="67" t="s">
        <v>656</v>
      </c>
      <c r="G107" s="67" t="s">
        <v>677</v>
      </c>
      <c r="H107" s="74" t="s">
        <v>1441</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685</v>
      </c>
      <c r="E108" s="64">
        <v>42391</v>
      </c>
      <c r="F108" s="67" t="s">
        <v>657</v>
      </c>
      <c r="G108" s="67" t="s">
        <v>677</v>
      </c>
      <c r="H108" s="74" t="s">
        <v>1441</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689</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689</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689</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690</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690</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691</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691</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692</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692</v>
      </c>
      <c r="E117" s="64">
        <v>42388</v>
      </c>
      <c r="F117" s="67" t="s">
        <v>1102</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693</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694</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694</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690</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690</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690</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690</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690</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691</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691</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689</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680</v>
      </c>
      <c r="E130" s="320">
        <v>42431</v>
      </c>
      <c r="F130" s="522" t="s">
        <v>391</v>
      </c>
      <c r="G130" s="999" t="s">
        <v>1191</v>
      </c>
      <c r="H130" s="7" t="s">
        <v>626</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680</v>
      </c>
      <c r="E131" s="320">
        <v>42431</v>
      </c>
      <c r="F131" s="522" t="s">
        <v>393</v>
      </c>
      <c r="G131" s="999" t="s">
        <v>1191</v>
      </c>
      <c r="H131" s="7" t="s">
        <v>626</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680</v>
      </c>
      <c r="E132" s="320">
        <v>42431</v>
      </c>
      <c r="F132" s="321" t="s">
        <v>655</v>
      </c>
      <c r="G132" s="999" t="s">
        <v>1191</v>
      </c>
      <c r="H132" s="7" t="s">
        <v>626</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681</v>
      </c>
      <c r="E133" s="320">
        <v>42437</v>
      </c>
      <c r="F133" s="321" t="s">
        <v>349</v>
      </c>
      <c r="G133" s="999" t="s">
        <v>661</v>
      </c>
      <c r="H133" s="7" t="s">
        <v>678</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681</v>
      </c>
      <c r="E134" s="320">
        <v>42437</v>
      </c>
      <c r="F134" s="321" t="s">
        <v>652</v>
      </c>
      <c r="G134" s="999" t="s">
        <v>661</v>
      </c>
      <c r="H134" s="7" t="s">
        <v>678</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682</v>
      </c>
      <c r="E135" s="320">
        <v>42446</v>
      </c>
      <c r="F135" s="321" t="s">
        <v>360</v>
      </c>
      <c r="G135" s="999" t="s">
        <v>1152</v>
      </c>
      <c r="H135" s="7" t="s">
        <v>622</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682</v>
      </c>
      <c r="E136" s="320">
        <v>42446</v>
      </c>
      <c r="F136" s="321" t="s">
        <v>1192</v>
      </c>
      <c r="G136" s="999" t="s">
        <v>1152</v>
      </c>
      <c r="H136" s="7" t="s">
        <v>622</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683</v>
      </c>
      <c r="E137" s="320">
        <v>42457</v>
      </c>
      <c r="F137" s="321" t="s">
        <v>349</v>
      </c>
      <c r="G137" s="999" t="s">
        <v>1365</v>
      </c>
      <c r="H137" s="7" t="s">
        <v>678</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683</v>
      </c>
      <c r="E138" s="320">
        <v>42457</v>
      </c>
      <c r="F138" s="321" t="s">
        <v>652</v>
      </c>
      <c r="G138" s="999" t="s">
        <v>1365</v>
      </c>
      <c r="H138" s="7" t="s">
        <v>678</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684</v>
      </c>
      <c r="E139" s="64">
        <f>C139</f>
        <v>42459</v>
      </c>
      <c r="F139" s="67" t="s">
        <v>225</v>
      </c>
      <c r="G139" s="995" t="s">
        <v>1369</v>
      </c>
      <c r="H139" s="7" t="s">
        <v>624</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684</v>
      </c>
      <c r="E140" s="64">
        <f>C140</f>
        <v>42459</v>
      </c>
      <c r="F140" s="67" t="s">
        <v>1370</v>
      </c>
      <c r="G140" s="995" t="s">
        <v>1369</v>
      </c>
      <c r="H140" s="7" t="s">
        <v>624</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689</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689</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689</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689</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690</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690</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690</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691</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691</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692</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944</v>
      </c>
      <c r="E151" s="64">
        <v>42374</v>
      </c>
      <c r="F151" s="67" t="s">
        <v>687</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945</v>
      </c>
      <c r="E152" s="64">
        <v>42374</v>
      </c>
      <c r="F152" s="67" t="s">
        <v>687</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946</v>
      </c>
      <c r="E153" s="64">
        <v>42374</v>
      </c>
      <c r="F153" s="67" t="s">
        <v>687</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947</v>
      </c>
      <c r="E154" s="64">
        <v>42380</v>
      </c>
      <c r="F154" s="67" t="s">
        <v>687</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948</v>
      </c>
      <c r="E155" s="64">
        <v>42380</v>
      </c>
      <c r="F155" s="67" t="s">
        <v>687</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949</v>
      </c>
      <c r="E156" s="64">
        <v>42380</v>
      </c>
      <c r="F156" s="67" t="s">
        <v>687</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950</v>
      </c>
      <c r="E157" s="64">
        <v>42384</v>
      </c>
      <c r="F157" s="67" t="s">
        <v>687</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951</v>
      </c>
      <c r="E158" s="64">
        <v>42384</v>
      </c>
      <c r="F158" s="67" t="s">
        <v>687</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952</v>
      </c>
      <c r="E159" s="64">
        <v>42384</v>
      </c>
      <c r="F159" s="67" t="s">
        <v>687</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953</v>
      </c>
      <c r="E160" s="64">
        <v>42390</v>
      </c>
      <c r="F160" s="67" t="s">
        <v>687</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954</v>
      </c>
      <c r="E161" s="64">
        <v>42390</v>
      </c>
      <c r="F161" s="67" t="s">
        <v>687</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696</v>
      </c>
      <c r="E162" s="64">
        <v>42376</v>
      </c>
      <c r="F162" s="67" t="s">
        <v>687</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697</v>
      </c>
      <c r="E163" s="64">
        <v>42380</v>
      </c>
      <c r="F163" s="67" t="s">
        <v>687</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699</v>
      </c>
      <c r="E164" s="64">
        <v>42384</v>
      </c>
      <c r="F164" s="67" t="s">
        <v>687</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956</v>
      </c>
      <c r="E165" s="64">
        <v>42388</v>
      </c>
      <c r="F165" s="67" t="s">
        <v>687</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688</v>
      </c>
      <c r="E166" s="64">
        <v>42371</v>
      </c>
      <c r="F166" s="67" t="s">
        <v>686</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695</v>
      </c>
      <c r="E167" s="64">
        <v>42374</v>
      </c>
      <c r="F167" s="67" t="s">
        <v>687</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698</v>
      </c>
      <c r="E168" s="64">
        <v>42382</v>
      </c>
      <c r="F168" s="67" t="s">
        <v>687</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955</v>
      </c>
      <c r="E169" s="64">
        <v>42386</v>
      </c>
      <c r="F169" s="67" t="s">
        <v>687</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957</v>
      </c>
      <c r="E170" s="64">
        <v>42390</v>
      </c>
      <c r="F170" s="67" t="s">
        <v>687</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958</v>
      </c>
      <c r="E171" s="64">
        <v>42394</v>
      </c>
      <c r="F171" s="67" t="s">
        <v>687</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960</v>
      </c>
      <c r="E172" s="64">
        <v>42392</v>
      </c>
      <c r="F172" s="67" t="s">
        <v>687</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961</v>
      </c>
      <c r="E173" s="64">
        <v>42392</v>
      </c>
      <c r="F173" s="67" t="s">
        <v>687</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962</v>
      </c>
      <c r="E174" s="64">
        <v>42392</v>
      </c>
      <c r="F174" s="67" t="s">
        <v>687</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963</v>
      </c>
      <c r="E175" s="64">
        <v>42392</v>
      </c>
      <c r="F175" s="67" t="s">
        <v>687</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964</v>
      </c>
      <c r="E176" s="64">
        <v>42396</v>
      </c>
      <c r="F176" s="67" t="s">
        <v>687</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965</v>
      </c>
      <c r="E177" s="64">
        <v>42396</v>
      </c>
      <c r="F177" s="67" t="s">
        <v>687</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966</v>
      </c>
      <c r="E178" s="64">
        <v>42396</v>
      </c>
      <c r="F178" s="67" t="s">
        <v>687</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967</v>
      </c>
      <c r="E179" s="64">
        <v>42396</v>
      </c>
      <c r="F179" s="67" t="s">
        <v>687</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968</v>
      </c>
      <c r="E180" s="64">
        <v>42400</v>
      </c>
      <c r="F180" s="67" t="s">
        <v>687</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969</v>
      </c>
      <c r="E181" s="64">
        <v>42400</v>
      </c>
      <c r="F181" s="67" t="s">
        <v>687</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970</v>
      </c>
      <c r="E182" s="64">
        <v>42400</v>
      </c>
      <c r="F182" s="67" t="s">
        <v>687</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971</v>
      </c>
      <c r="E183" s="64">
        <v>42400</v>
      </c>
      <c r="F183" s="67" t="s">
        <v>687</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688</v>
      </c>
      <c r="E184" s="64">
        <v>42415</v>
      </c>
      <c r="F184" s="67" t="s">
        <v>687</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695</v>
      </c>
      <c r="E185" s="64">
        <v>42418</v>
      </c>
      <c r="F185" s="67" t="s">
        <v>687</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696</v>
      </c>
      <c r="E186" s="64">
        <v>42423</v>
      </c>
      <c r="F186" s="67" t="s">
        <v>687</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960</v>
      </c>
      <c r="E187" s="64">
        <v>42417</v>
      </c>
      <c r="F187" s="67" t="s">
        <v>687</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961</v>
      </c>
      <c r="E188" s="64">
        <v>42417</v>
      </c>
      <c r="F188" s="67" t="s">
        <v>687</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962</v>
      </c>
      <c r="E189" s="64">
        <v>42417</v>
      </c>
      <c r="F189" s="67" t="s">
        <v>687</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963</v>
      </c>
      <c r="E190" s="64">
        <v>42417</v>
      </c>
      <c r="F190" s="67" t="s">
        <v>687</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964</v>
      </c>
      <c r="E191" s="64">
        <v>42424</v>
      </c>
      <c r="F191" s="67" t="s">
        <v>687</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965</v>
      </c>
      <c r="E192" s="64">
        <v>42424</v>
      </c>
      <c r="F192" s="67" t="s">
        <v>687</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966</v>
      </c>
      <c r="E193" s="64">
        <v>42424</v>
      </c>
      <c r="F193" s="67" t="s">
        <v>687</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695</v>
      </c>
      <c r="E195" s="64">
        <v>42436</v>
      </c>
      <c r="F195" s="67" t="s">
        <v>687</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944</v>
      </c>
      <c r="E196" s="64">
        <v>42437</v>
      </c>
      <c r="F196" s="67" t="s">
        <v>686</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945</v>
      </c>
      <c r="E197" s="64">
        <v>42437</v>
      </c>
      <c r="F197" s="67" t="s">
        <v>686</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946</v>
      </c>
      <c r="E198" s="64">
        <v>42437</v>
      </c>
      <c r="F198" s="67" t="s">
        <v>686</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947</v>
      </c>
      <c r="E199" s="64">
        <v>42437</v>
      </c>
      <c r="F199" s="67" t="s">
        <v>686</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948</v>
      </c>
      <c r="E200" s="64">
        <v>42448</v>
      </c>
      <c r="F200" s="67" t="s">
        <v>686</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949</v>
      </c>
      <c r="E201" s="64">
        <v>42448</v>
      </c>
      <c r="F201" s="67" t="s">
        <v>686</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950</v>
      </c>
      <c r="E202" s="64">
        <v>42448</v>
      </c>
      <c r="F202" s="67" t="s">
        <v>686</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696</v>
      </c>
      <c r="E203" s="64">
        <v>42446</v>
      </c>
      <c r="F203" s="67" t="s">
        <v>686</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697</v>
      </c>
      <c r="E204" s="64">
        <v>42454</v>
      </c>
      <c r="F204" s="67" t="s">
        <v>686</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878</v>
      </c>
      <c r="E205" s="64">
        <v>42368</v>
      </c>
      <c r="F205" s="67" t="s">
        <v>774</v>
      </c>
      <c r="G205" s="995" t="s">
        <v>809</v>
      </c>
      <c r="H205" s="74" t="s">
        <v>810</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878</v>
      </c>
      <c r="E206" s="64">
        <v>42368</v>
      </c>
      <c r="F206" s="67" t="s">
        <v>775</v>
      </c>
      <c r="G206" s="995" t="s">
        <v>809</v>
      </c>
      <c r="H206" s="74" t="s">
        <v>810</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879</v>
      </c>
      <c r="E207" s="64">
        <v>42369</v>
      </c>
      <c r="F207" s="67" t="s">
        <v>776</v>
      </c>
      <c r="G207" s="67" t="s">
        <v>811</v>
      </c>
      <c r="H207" s="350" t="s">
        <v>812</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879</v>
      </c>
      <c r="E208" s="64">
        <v>42369</v>
      </c>
      <c r="F208" s="67" t="s">
        <v>777</v>
      </c>
      <c r="G208" s="67" t="s">
        <v>811</v>
      </c>
      <c r="H208" s="74" t="s">
        <v>812</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880</v>
      </c>
      <c r="E209" s="64">
        <v>42367</v>
      </c>
      <c r="F209" s="67" t="s">
        <v>774</v>
      </c>
      <c r="G209" s="67" t="s">
        <v>813</v>
      </c>
      <c r="H209" s="74" t="s">
        <v>814</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880</v>
      </c>
      <c r="E210" s="64">
        <v>42367</v>
      </c>
      <c r="F210" s="67" t="s">
        <v>775</v>
      </c>
      <c r="G210" s="67" t="s">
        <v>813</v>
      </c>
      <c r="H210" s="350" t="s">
        <v>814</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881</v>
      </c>
      <c r="E211" s="64">
        <v>42367</v>
      </c>
      <c r="F211" s="67" t="s">
        <v>778</v>
      </c>
      <c r="G211" s="67" t="s">
        <v>815</v>
      </c>
      <c r="H211" s="74" t="s">
        <v>816</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881</v>
      </c>
      <c r="E212" s="64">
        <v>42367</v>
      </c>
      <c r="F212" s="67" t="s">
        <v>779</v>
      </c>
      <c r="G212" s="67" t="s">
        <v>815</v>
      </c>
      <c r="H212" s="74" t="s">
        <v>816</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882</v>
      </c>
      <c r="E213" s="64">
        <v>42370</v>
      </c>
      <c r="F213" s="149" t="s">
        <v>780</v>
      </c>
      <c r="G213" s="996" t="s">
        <v>817</v>
      </c>
      <c r="H213" s="74" t="s">
        <v>818</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882</v>
      </c>
      <c r="E214" s="64">
        <v>42370</v>
      </c>
      <c r="F214" s="67" t="s">
        <v>781</v>
      </c>
      <c r="G214" s="995" t="s">
        <v>817</v>
      </c>
      <c r="H214" s="74" t="s">
        <v>818</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883</v>
      </c>
      <c r="E215" s="64">
        <v>42370</v>
      </c>
      <c r="F215" s="67" t="s">
        <v>782</v>
      </c>
      <c r="G215" s="995"/>
      <c r="H215" s="74" t="s">
        <v>630</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708</v>
      </c>
      <c r="E216" s="64">
        <v>42373</v>
      </c>
      <c r="F216" s="67" t="s">
        <v>716</v>
      </c>
      <c r="G216" s="67" t="s">
        <v>928</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x</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884</v>
      </c>
      <c r="E217" s="64">
        <v>42373</v>
      </c>
      <c r="F217" s="67" t="s">
        <v>764</v>
      </c>
      <c r="G217" s="67" t="s">
        <v>928</v>
      </c>
      <c r="H217" s="75" t="s">
        <v>772</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x</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885</v>
      </c>
      <c r="E218" s="64">
        <v>42373</v>
      </c>
      <c r="F218" s="67" t="s">
        <v>783</v>
      </c>
      <c r="G218" s="995" t="s">
        <v>819</v>
      </c>
      <c r="H218" s="74" t="s">
        <v>820</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885</v>
      </c>
      <c r="E219" s="64">
        <v>42373</v>
      </c>
      <c r="F219" s="67" t="s">
        <v>784</v>
      </c>
      <c r="G219" s="997" t="s">
        <v>819</v>
      </c>
      <c r="H219" s="350" t="s">
        <v>820</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886</v>
      </c>
      <c r="E220" s="64">
        <v>42336</v>
      </c>
      <c r="F220" s="67" t="s">
        <v>778</v>
      </c>
      <c r="G220" s="997" t="s">
        <v>821</v>
      </c>
      <c r="H220" s="350" t="s">
        <v>816</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886</v>
      </c>
      <c r="E221" s="64">
        <v>42336</v>
      </c>
      <c r="F221" s="67" t="s">
        <v>779</v>
      </c>
      <c r="G221" s="67" t="s">
        <v>821</v>
      </c>
      <c r="H221" s="74" t="s">
        <v>816</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887</v>
      </c>
      <c r="E222" s="64">
        <v>42373</v>
      </c>
      <c r="F222" s="67" t="s">
        <v>785</v>
      </c>
      <c r="G222" s="995" t="s">
        <v>822</v>
      </c>
      <c r="H222" s="74" t="s">
        <v>818</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887</v>
      </c>
      <c r="E223" s="64">
        <v>42373</v>
      </c>
      <c r="F223" s="67" t="s">
        <v>786</v>
      </c>
      <c r="G223" s="995" t="s">
        <v>822</v>
      </c>
      <c r="H223" s="74" t="s">
        <v>818</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888</v>
      </c>
      <c r="E224" s="64">
        <v>42373</v>
      </c>
      <c r="F224" s="67" t="s">
        <v>785</v>
      </c>
      <c r="G224" s="995" t="s">
        <v>823</v>
      </c>
      <c r="H224" s="74" t="s">
        <v>824</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888</v>
      </c>
      <c r="E225" s="64">
        <v>42373</v>
      </c>
      <c r="F225" s="67" t="s">
        <v>786</v>
      </c>
      <c r="G225" s="995" t="s">
        <v>823</v>
      </c>
      <c r="H225" s="74" t="s">
        <v>824</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889</v>
      </c>
      <c r="E226" s="64">
        <v>42374</v>
      </c>
      <c r="F226" s="67" t="s">
        <v>787</v>
      </c>
      <c r="G226" s="67" t="s">
        <v>825</v>
      </c>
      <c r="H226" s="74" t="s">
        <v>820</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889</v>
      </c>
      <c r="E227" s="64">
        <v>42374</v>
      </c>
      <c r="F227" s="67" t="s">
        <v>788</v>
      </c>
      <c r="G227" s="67" t="s">
        <v>825</v>
      </c>
      <c r="H227" s="352" t="s">
        <v>820</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890</v>
      </c>
      <c r="E228" s="64">
        <v>42350</v>
      </c>
      <c r="F228" s="67" t="s">
        <v>778</v>
      </c>
      <c r="G228" s="67" t="s">
        <v>826</v>
      </c>
      <c r="H228" s="74" t="s">
        <v>816</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890</v>
      </c>
      <c r="E229" s="64">
        <v>42350</v>
      </c>
      <c r="F229" s="67" t="s">
        <v>779</v>
      </c>
      <c r="G229" s="67" t="s">
        <v>826</v>
      </c>
      <c r="H229" s="74" t="s">
        <v>816</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891</v>
      </c>
      <c r="E230" s="64">
        <v>42374</v>
      </c>
      <c r="F230" s="67" t="s">
        <v>785</v>
      </c>
      <c r="G230" s="67" t="s">
        <v>827</v>
      </c>
      <c r="H230" s="74" t="s">
        <v>818</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891</v>
      </c>
      <c r="E231" s="64">
        <v>42374</v>
      </c>
      <c r="F231" s="67" t="s">
        <v>786</v>
      </c>
      <c r="G231" s="67" t="s">
        <v>827</v>
      </c>
      <c r="H231" s="74" t="s">
        <v>818</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892</v>
      </c>
      <c r="E232" s="64">
        <v>42374</v>
      </c>
      <c r="F232" s="67" t="s">
        <v>789</v>
      </c>
      <c r="G232" s="67" t="s">
        <v>673</v>
      </c>
      <c r="H232" s="74" t="s">
        <v>678</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708</v>
      </c>
      <c r="E233" s="64">
        <v>42375</v>
      </c>
      <c r="F233" s="67" t="s">
        <v>718</v>
      </c>
      <c r="G233" s="67" t="s">
        <v>929</v>
      </c>
      <c r="H233" s="74" t="s">
        <v>719</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708</v>
      </c>
      <c r="E234" s="64">
        <v>42375</v>
      </c>
      <c r="F234" s="67" t="s">
        <v>718</v>
      </c>
      <c r="G234" s="67" t="s">
        <v>929</v>
      </c>
      <c r="H234" s="74" t="s">
        <v>720</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708</v>
      </c>
      <c r="E235" s="64">
        <v>42375</v>
      </c>
      <c r="F235" s="67" t="s">
        <v>718</v>
      </c>
      <c r="G235" s="67" t="s">
        <v>929</v>
      </c>
      <c r="H235" s="75" t="s">
        <v>721</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708</v>
      </c>
      <c r="E236" s="64">
        <v>42375</v>
      </c>
      <c r="F236" s="67" t="s">
        <v>718</v>
      </c>
      <c r="G236" s="67" t="s">
        <v>929</v>
      </c>
      <c r="H236" s="74" t="s">
        <v>722</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893</v>
      </c>
      <c r="E237" s="64">
        <v>42376</v>
      </c>
      <c r="F237" s="67" t="s">
        <v>745</v>
      </c>
      <c r="G237" s="67" t="s">
        <v>929</v>
      </c>
      <c r="H237" s="74" t="s">
        <v>773</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708</v>
      </c>
      <c r="E238" s="64">
        <v>42376</v>
      </c>
      <c r="F238" s="67" t="s">
        <v>1105</v>
      </c>
      <c r="G238" s="67" t="s">
        <v>929</v>
      </c>
      <c r="H238" s="67" t="s">
        <v>629</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708</v>
      </c>
      <c r="E239" s="64">
        <v>42376</v>
      </c>
      <c r="F239" s="67" t="s">
        <v>751</v>
      </c>
      <c r="G239" s="67" t="s">
        <v>929</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894</v>
      </c>
      <c r="E240" s="64">
        <v>42376</v>
      </c>
      <c r="F240" s="67" t="s">
        <v>790</v>
      </c>
      <c r="G240" s="995" t="s">
        <v>828</v>
      </c>
      <c r="H240" s="74" t="s">
        <v>829</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894</v>
      </c>
      <c r="E241" s="64">
        <v>42376</v>
      </c>
      <c r="F241" s="67" t="s">
        <v>791</v>
      </c>
      <c r="G241" s="995" t="s">
        <v>828</v>
      </c>
      <c r="H241" s="74" t="s">
        <v>829</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705</v>
      </c>
      <c r="E242" s="64">
        <v>42377</v>
      </c>
      <c r="F242" s="69" t="s">
        <v>712</v>
      </c>
      <c r="G242" s="67" t="s">
        <v>928</v>
      </c>
      <c r="H242" s="7" t="s">
        <v>602</v>
      </c>
      <c r="I242" s="446"/>
      <c r="J242" s="446"/>
      <c r="K242" s="437">
        <v>4819.12</v>
      </c>
      <c r="L242" s="446">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585</v>
      </c>
      <c r="E243" s="64">
        <v>42377</v>
      </c>
      <c r="F243" s="67" t="s">
        <v>1084</v>
      </c>
      <c r="G243" s="67" t="s">
        <v>928</v>
      </c>
      <c r="H243" s="7" t="s">
        <v>602</v>
      </c>
      <c r="I243" s="446"/>
      <c r="J243" s="446"/>
      <c r="K243" s="437">
        <v>169.88</v>
      </c>
      <c r="L243" s="446">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585</v>
      </c>
      <c r="E244" s="64">
        <v>42377</v>
      </c>
      <c r="F244" s="67" t="s">
        <v>1085</v>
      </c>
      <c r="G244" s="67" t="s">
        <v>928</v>
      </c>
      <c r="H244" s="7" t="s">
        <v>602</v>
      </c>
      <c r="I244" s="446"/>
      <c r="J244" s="446"/>
      <c r="K244" s="437">
        <v>230.64</v>
      </c>
      <c r="L244" s="446">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585</v>
      </c>
      <c r="E245" s="64">
        <v>42377</v>
      </c>
      <c r="F245" s="67" t="s">
        <v>1079</v>
      </c>
      <c r="G245" s="67" t="s">
        <v>928</v>
      </c>
      <c r="H245" s="7" t="s">
        <v>602</v>
      </c>
      <c r="I245" s="446"/>
      <c r="J245" s="446"/>
      <c r="K245" s="437"/>
      <c r="L245" s="446"/>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708</v>
      </c>
      <c r="E246" s="81">
        <v>42377</v>
      </c>
      <c r="F246" s="82" t="s">
        <v>717</v>
      </c>
      <c r="G246" s="67" t="s">
        <v>928</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895</v>
      </c>
      <c r="E247" s="64">
        <v>42377</v>
      </c>
      <c r="F247" s="67" t="s">
        <v>792</v>
      </c>
      <c r="G247" s="67" t="s">
        <v>830</v>
      </c>
      <c r="H247" s="352" t="s">
        <v>831</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895</v>
      </c>
      <c r="E248" s="64">
        <v>42377</v>
      </c>
      <c r="F248" s="67" t="s">
        <v>793</v>
      </c>
      <c r="G248" s="67" t="s">
        <v>830</v>
      </c>
      <c r="H248" s="74" t="s">
        <v>831</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896</v>
      </c>
      <c r="E249" s="64">
        <v>42377</v>
      </c>
      <c r="F249" s="67" t="s">
        <v>794</v>
      </c>
      <c r="G249" s="67" t="s">
        <v>832</v>
      </c>
      <c r="H249" s="74" t="s">
        <v>818</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896</v>
      </c>
      <c r="E250" s="64">
        <v>42377</v>
      </c>
      <c r="F250" s="67" t="s">
        <v>795</v>
      </c>
      <c r="G250" s="67" t="s">
        <v>832</v>
      </c>
      <c r="H250" s="352" t="s">
        <v>818</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708</v>
      </c>
      <c r="E251" s="64">
        <v>42380</v>
      </c>
      <c r="F251" s="67" t="s">
        <v>713</v>
      </c>
      <c r="G251" s="67" t="s">
        <v>929</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708</v>
      </c>
      <c r="E252" s="64">
        <v>42380</v>
      </c>
      <c r="F252" s="67" t="s">
        <v>714</v>
      </c>
      <c r="G252" s="67" t="s">
        <v>929</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897</v>
      </c>
      <c r="E253" s="64">
        <v>42380</v>
      </c>
      <c r="F253" s="69" t="s">
        <v>780</v>
      </c>
      <c r="G253" s="67" t="s">
        <v>833</v>
      </c>
      <c r="H253" s="74" t="s">
        <v>818</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897</v>
      </c>
      <c r="E254" s="64">
        <v>42380</v>
      </c>
      <c r="F254" s="67" t="s">
        <v>781</v>
      </c>
      <c r="G254" s="995" t="s">
        <v>833</v>
      </c>
      <c r="H254" s="74" t="s">
        <v>818</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898</v>
      </c>
      <c r="E255" s="81">
        <v>42380</v>
      </c>
      <c r="F255" s="82" t="s">
        <v>974</v>
      </c>
      <c r="G255" s="82"/>
      <c r="H255" s="83" t="s">
        <v>973</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899</v>
      </c>
      <c r="E256" s="64">
        <v>42381</v>
      </c>
      <c r="F256" s="67" t="s">
        <v>785</v>
      </c>
      <c r="G256" s="995" t="s">
        <v>834</v>
      </c>
      <c r="H256" s="74" t="s">
        <v>818</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899</v>
      </c>
      <c r="E257" s="64">
        <v>42381</v>
      </c>
      <c r="F257" s="67" t="s">
        <v>786</v>
      </c>
      <c r="G257" s="995" t="s">
        <v>834</v>
      </c>
      <c r="H257" s="74" t="s">
        <v>818</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900</v>
      </c>
      <c r="E258" s="64">
        <v>42381</v>
      </c>
      <c r="F258" s="67" t="s">
        <v>796</v>
      </c>
      <c r="G258" s="995" t="s">
        <v>835</v>
      </c>
      <c r="H258" s="74" t="s">
        <v>836</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900</v>
      </c>
      <c r="E259" s="64">
        <v>42381</v>
      </c>
      <c r="F259" s="67" t="s">
        <v>797</v>
      </c>
      <c r="G259" s="995" t="s">
        <v>835</v>
      </c>
      <c r="H259" s="74" t="s">
        <v>836</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708</v>
      </c>
      <c r="E260" s="64">
        <v>42382</v>
      </c>
      <c r="F260" s="67" t="s">
        <v>752</v>
      </c>
      <c r="G260" s="67" t="s">
        <v>929</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585</v>
      </c>
      <c r="E261" s="64">
        <v>42382</v>
      </c>
      <c r="F261" s="67" t="s">
        <v>868</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705</v>
      </c>
      <c r="E262" s="64">
        <v>42383</v>
      </c>
      <c r="F262" s="67" t="s">
        <v>706</v>
      </c>
      <c r="G262" s="67" t="s">
        <v>930</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708</v>
      </c>
      <c r="E263" s="64">
        <v>42383</v>
      </c>
      <c r="F263" s="67" t="s">
        <v>715</v>
      </c>
      <c r="G263" s="67" t="s">
        <v>929</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708</v>
      </c>
      <c r="E264" s="64">
        <v>42383</v>
      </c>
      <c r="F264" s="67" t="s">
        <v>1113</v>
      </c>
      <c r="G264" s="67" t="s">
        <v>929</v>
      </c>
      <c r="H264" s="67" t="s">
        <v>635</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708</v>
      </c>
      <c r="E265" s="64">
        <v>42383</v>
      </c>
      <c r="F265" s="67" t="s">
        <v>751</v>
      </c>
      <c r="G265" s="67" t="s">
        <v>929</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708</v>
      </c>
      <c r="E266" s="64">
        <v>42383</v>
      </c>
      <c r="F266" s="67" t="s">
        <v>753</v>
      </c>
      <c r="G266" s="67" t="s">
        <v>929</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901</v>
      </c>
      <c r="E267" s="64">
        <v>42383</v>
      </c>
      <c r="F267" s="67" t="s">
        <v>790</v>
      </c>
      <c r="G267" s="995" t="s">
        <v>837</v>
      </c>
      <c r="H267" s="74" t="s">
        <v>829</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901</v>
      </c>
      <c r="E268" s="64">
        <v>42383</v>
      </c>
      <c r="F268" s="67" t="s">
        <v>791</v>
      </c>
      <c r="G268" s="995" t="s">
        <v>837</v>
      </c>
      <c r="H268" s="74" t="s">
        <v>829</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913</v>
      </c>
      <c r="E269" s="64">
        <v>42384</v>
      </c>
      <c r="F269" s="67" t="s">
        <v>754</v>
      </c>
      <c r="G269" s="67" t="s">
        <v>929</v>
      </c>
      <c r="H269" s="75" t="s">
        <v>772</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902</v>
      </c>
      <c r="E270" s="64">
        <v>42384</v>
      </c>
      <c r="F270" s="67" t="s">
        <v>785</v>
      </c>
      <c r="G270" s="67" t="s">
        <v>838</v>
      </c>
      <c r="H270" s="352" t="s">
        <v>824</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902</v>
      </c>
      <c r="E271" s="64">
        <v>42384</v>
      </c>
      <c r="F271" s="67" t="s">
        <v>786</v>
      </c>
      <c r="G271" s="67" t="s">
        <v>838</v>
      </c>
      <c r="H271" s="352" t="s">
        <v>824</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903</v>
      </c>
      <c r="E272" s="64">
        <v>42384</v>
      </c>
      <c r="F272" s="67" t="s">
        <v>785</v>
      </c>
      <c r="G272" s="67" t="s">
        <v>839</v>
      </c>
      <c r="H272" s="352" t="s">
        <v>818</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903</v>
      </c>
      <c r="E273" s="64">
        <v>42384</v>
      </c>
      <c r="F273" s="67" t="s">
        <v>786</v>
      </c>
      <c r="G273" s="67" t="s">
        <v>839</v>
      </c>
      <c r="H273" s="74" t="s">
        <v>818</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904</v>
      </c>
      <c r="E274" s="64">
        <v>42384</v>
      </c>
      <c r="F274" s="67" t="s">
        <v>798</v>
      </c>
      <c r="G274" s="67" t="s">
        <v>840</v>
      </c>
      <c r="H274" s="74" t="s">
        <v>841</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904</v>
      </c>
      <c r="E275" s="64">
        <v>42384</v>
      </c>
      <c r="F275" s="67" t="s">
        <v>799</v>
      </c>
      <c r="G275" s="67" t="s">
        <v>840</v>
      </c>
      <c r="H275" s="352" t="s">
        <v>841</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905</v>
      </c>
      <c r="E276" s="64">
        <v>42384</v>
      </c>
      <c r="F276" s="67" t="s">
        <v>790</v>
      </c>
      <c r="G276" s="67" t="s">
        <v>842</v>
      </c>
      <c r="H276" s="352" t="s">
        <v>829</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905</v>
      </c>
      <c r="E277" s="64">
        <v>42384</v>
      </c>
      <c r="F277" s="67" t="s">
        <v>791</v>
      </c>
      <c r="G277" s="67" t="s">
        <v>842</v>
      </c>
      <c r="H277" s="352" t="s">
        <v>829</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708</v>
      </c>
      <c r="E278" s="64">
        <v>42387</v>
      </c>
      <c r="F278" s="67" t="s">
        <v>755</v>
      </c>
      <c r="G278" s="67" t="s">
        <v>929</v>
      </c>
      <c r="H278" s="67" t="s">
        <v>731</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708</v>
      </c>
      <c r="E279" s="64">
        <v>42387</v>
      </c>
      <c r="F279" s="67" t="s">
        <v>756</v>
      </c>
      <c r="G279" s="67" t="s">
        <v>929</v>
      </c>
      <c r="H279" s="67" t="s">
        <v>732</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708</v>
      </c>
      <c r="E280" s="64">
        <v>42387</v>
      </c>
      <c r="F280" s="67" t="s">
        <v>757</v>
      </c>
      <c r="G280" s="67" t="s">
        <v>929</v>
      </c>
      <c r="H280" s="67" t="s">
        <v>724</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906</v>
      </c>
      <c r="E281" s="64">
        <v>42387</v>
      </c>
      <c r="F281" s="67" t="s">
        <v>800</v>
      </c>
      <c r="G281" s="67" t="s">
        <v>843</v>
      </c>
      <c r="H281" s="352" t="s">
        <v>818</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906</v>
      </c>
      <c r="E282" s="64">
        <v>42387</v>
      </c>
      <c r="F282" s="67" t="s">
        <v>801</v>
      </c>
      <c r="G282" s="67" t="s">
        <v>843</v>
      </c>
      <c r="H282" s="74" t="s">
        <v>818</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907</v>
      </c>
      <c r="E283" s="64">
        <v>42387</v>
      </c>
      <c r="F283" s="67" t="s">
        <v>789</v>
      </c>
      <c r="G283" s="67" t="s">
        <v>674</v>
      </c>
      <c r="H283" s="74" t="s">
        <v>678</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908</v>
      </c>
      <c r="E284" s="64">
        <v>42388</v>
      </c>
      <c r="F284" s="67" t="s">
        <v>785</v>
      </c>
      <c r="G284" s="67" t="s">
        <v>844</v>
      </c>
      <c r="H284" s="74" t="s">
        <v>824</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908</v>
      </c>
      <c r="E285" s="64">
        <v>42388</v>
      </c>
      <c r="F285" s="67" t="s">
        <v>786</v>
      </c>
      <c r="G285" s="67" t="s">
        <v>844</v>
      </c>
      <c r="H285" s="352" t="s">
        <v>824</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909</v>
      </c>
      <c r="E286" s="64">
        <v>42389</v>
      </c>
      <c r="F286" s="67" t="s">
        <v>785</v>
      </c>
      <c r="G286" s="67" t="s">
        <v>845</v>
      </c>
      <c r="H286" s="74" t="s">
        <v>818</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909</v>
      </c>
      <c r="E287" s="64">
        <v>42389</v>
      </c>
      <c r="F287" s="67" t="s">
        <v>786</v>
      </c>
      <c r="G287" s="67" t="s">
        <v>845</v>
      </c>
      <c r="H287" s="74" t="s">
        <v>818</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910</v>
      </c>
      <c r="E288" s="64">
        <v>42390</v>
      </c>
      <c r="F288" s="67" t="s">
        <v>780</v>
      </c>
      <c r="G288" s="67" t="s">
        <v>846</v>
      </c>
      <c r="H288" s="352" t="s">
        <v>818</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910</v>
      </c>
      <c r="E289" s="64">
        <v>42390</v>
      </c>
      <c r="F289" s="67" t="s">
        <v>781</v>
      </c>
      <c r="G289" s="67" t="s">
        <v>846</v>
      </c>
      <c r="H289" s="74" t="s">
        <v>818</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911</v>
      </c>
      <c r="E290" s="81">
        <v>42390</v>
      </c>
      <c r="F290" s="82" t="s">
        <v>974</v>
      </c>
      <c r="G290" s="82"/>
      <c r="H290" s="83" t="s">
        <v>973</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912</v>
      </c>
      <c r="E291" s="64">
        <v>42391</v>
      </c>
      <c r="F291" s="67" t="s">
        <v>747</v>
      </c>
      <c r="G291" s="67" t="s">
        <v>928</v>
      </c>
      <c r="H291" s="67" t="s">
        <v>772</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x</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708</v>
      </c>
      <c r="E292" s="64">
        <v>42391</v>
      </c>
      <c r="F292" s="67" t="s">
        <v>765</v>
      </c>
      <c r="G292" s="67" t="s">
        <v>928</v>
      </c>
      <c r="H292" s="74" t="s">
        <v>726</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x</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708</v>
      </c>
      <c r="E293" s="64">
        <v>42391</v>
      </c>
      <c r="F293" s="67" t="s">
        <v>766</v>
      </c>
      <c r="G293" s="67" t="s">
        <v>928</v>
      </c>
      <c r="H293" s="74" t="s">
        <v>737</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x</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708</v>
      </c>
      <c r="E294" s="64">
        <v>42391</v>
      </c>
      <c r="F294" s="67" t="s">
        <v>767</v>
      </c>
      <c r="G294" s="67" t="s">
        <v>928</v>
      </c>
      <c r="H294" s="74" t="s">
        <v>738</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x</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708</v>
      </c>
      <c r="E295" s="64">
        <v>42391</v>
      </c>
      <c r="F295" s="67" t="s">
        <v>768</v>
      </c>
      <c r="G295" s="67" t="s">
        <v>928</v>
      </c>
      <c r="H295" s="74" t="s">
        <v>739</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x</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705</v>
      </c>
      <c r="E296" s="64">
        <v>42392</v>
      </c>
      <c r="F296" s="67" t="s">
        <v>746</v>
      </c>
      <c r="G296" s="67" t="s">
        <v>929</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705</v>
      </c>
      <c r="E297" s="64">
        <v>42392</v>
      </c>
      <c r="F297" s="67" t="s">
        <v>748</v>
      </c>
      <c r="G297" s="67" t="s">
        <v>928</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x</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914</v>
      </c>
      <c r="E298" s="81">
        <v>42392</v>
      </c>
      <c r="F298" s="82" t="s">
        <v>974</v>
      </c>
      <c r="G298" s="82"/>
      <c r="H298" s="83" t="s">
        <v>973</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915</v>
      </c>
      <c r="E299" s="64">
        <v>42393</v>
      </c>
      <c r="F299" s="67" t="s">
        <v>800</v>
      </c>
      <c r="G299" s="67" t="s">
        <v>847</v>
      </c>
      <c r="H299" s="74" t="s">
        <v>818</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915</v>
      </c>
      <c r="E300" s="64">
        <v>42393</v>
      </c>
      <c r="F300" s="67" t="s">
        <v>801</v>
      </c>
      <c r="G300" s="67" t="s">
        <v>847</v>
      </c>
      <c r="H300" s="352" t="s">
        <v>818</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708</v>
      </c>
      <c r="E301" s="64">
        <v>42394</v>
      </c>
      <c r="F301" s="67" t="s">
        <v>713</v>
      </c>
      <c r="G301" s="67" t="s">
        <v>929</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708</v>
      </c>
      <c r="E302" s="64">
        <v>42394</v>
      </c>
      <c r="F302" s="67" t="s">
        <v>714</v>
      </c>
      <c r="G302" s="67" t="s">
        <v>929</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917</v>
      </c>
      <c r="E303" s="64">
        <v>42394</v>
      </c>
      <c r="F303" s="67" t="s">
        <v>745</v>
      </c>
      <c r="G303" s="67" t="s">
        <v>929</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705</v>
      </c>
      <c r="E304" s="64">
        <v>42394</v>
      </c>
      <c r="F304" s="67" t="s">
        <v>707</v>
      </c>
      <c r="G304" s="67" t="s">
        <v>929</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708</v>
      </c>
      <c r="E305" s="64">
        <v>42394</v>
      </c>
      <c r="F305" s="67" t="s">
        <v>758</v>
      </c>
      <c r="G305" s="67" t="s">
        <v>929</v>
      </c>
      <c r="H305" s="352" t="s">
        <v>724</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708</v>
      </c>
      <c r="E306" s="64">
        <v>42394</v>
      </c>
      <c r="F306" s="351" t="s">
        <v>723</v>
      </c>
      <c r="G306" s="67" t="s">
        <v>929</v>
      </c>
      <c r="H306" s="352" t="s">
        <v>724</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585</v>
      </c>
      <c r="E307" s="64">
        <v>42394</v>
      </c>
      <c r="F307" s="351" t="s">
        <v>742</v>
      </c>
      <c r="G307" s="67" t="s">
        <v>929</v>
      </c>
      <c r="H307" s="352" t="s">
        <v>724</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708</v>
      </c>
      <c r="E308" s="64">
        <v>42394</v>
      </c>
      <c r="F308" s="67" t="s">
        <v>709</v>
      </c>
      <c r="G308" s="67" t="s">
        <v>929</v>
      </c>
      <c r="H308" s="74" t="s">
        <v>744</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705</v>
      </c>
      <c r="E309" s="64">
        <v>42394</v>
      </c>
      <c r="F309" s="67" t="s">
        <v>715</v>
      </c>
      <c r="G309" s="67" t="s">
        <v>929</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916</v>
      </c>
      <c r="E310" s="64">
        <v>42394</v>
      </c>
      <c r="F310" s="67" t="s">
        <v>754</v>
      </c>
      <c r="G310" s="67" t="s">
        <v>929</v>
      </c>
      <c r="H310" s="75" t="s">
        <v>772</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918</v>
      </c>
      <c r="E311" s="64">
        <v>42394</v>
      </c>
      <c r="F311" s="67" t="s">
        <v>802</v>
      </c>
      <c r="G311" s="67" t="s">
        <v>848</v>
      </c>
      <c r="H311" s="74" t="s">
        <v>849</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918</v>
      </c>
      <c r="E312" s="64">
        <v>42394</v>
      </c>
      <c r="F312" s="67" t="s">
        <v>803</v>
      </c>
      <c r="G312" s="67" t="s">
        <v>848</v>
      </c>
      <c r="H312" s="74" t="s">
        <v>849</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921</v>
      </c>
      <c r="E313" s="64">
        <v>42395</v>
      </c>
      <c r="F313" s="67" t="s">
        <v>745</v>
      </c>
      <c r="G313" s="67" t="s">
        <v>929</v>
      </c>
      <c r="H313" s="74" t="s">
        <v>773</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708</v>
      </c>
      <c r="E314" s="64">
        <v>42395</v>
      </c>
      <c r="F314" s="67" t="s">
        <v>759</v>
      </c>
      <c r="G314" s="67" t="s">
        <v>929</v>
      </c>
      <c r="H314" s="519" t="s">
        <v>730</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708</v>
      </c>
      <c r="E315" s="64">
        <v>42395</v>
      </c>
      <c r="F315" s="519" t="s">
        <v>760</v>
      </c>
      <c r="G315" s="67" t="s">
        <v>929</v>
      </c>
      <c r="H315" s="519" t="s">
        <v>733</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708</v>
      </c>
      <c r="E316" s="64">
        <v>42395</v>
      </c>
      <c r="F316" s="519" t="s">
        <v>761</v>
      </c>
      <c r="G316" s="67" t="s">
        <v>929</v>
      </c>
      <c r="H316" s="519" t="s">
        <v>734</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708</v>
      </c>
      <c r="E317" s="64">
        <v>42395</v>
      </c>
      <c r="F317" s="519" t="s">
        <v>762</v>
      </c>
      <c r="G317" s="67" t="s">
        <v>929</v>
      </c>
      <c r="H317" s="519" t="s">
        <v>741</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708</v>
      </c>
      <c r="E318" s="64">
        <v>42395</v>
      </c>
      <c r="F318" s="519" t="s">
        <v>763</v>
      </c>
      <c r="G318" s="67" t="s">
        <v>929</v>
      </c>
      <c r="H318" s="519" t="s">
        <v>735</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705</v>
      </c>
      <c r="E319" s="64">
        <v>42396</v>
      </c>
      <c r="F319" s="67" t="s">
        <v>710</v>
      </c>
      <c r="G319" s="67" t="s">
        <v>929</v>
      </c>
      <c r="H319" s="74" t="s">
        <v>601</v>
      </c>
      <c r="I319" s="446"/>
      <c r="J319" s="446"/>
      <c r="K319" s="437">
        <v>39553.120000000003</v>
      </c>
      <c r="L319" s="446">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585</v>
      </c>
      <c r="E320" s="64">
        <v>42396</v>
      </c>
      <c r="F320" s="67" t="s">
        <v>617</v>
      </c>
      <c r="G320" s="67" t="s">
        <v>929</v>
      </c>
      <c r="H320" s="74" t="s">
        <v>601</v>
      </c>
      <c r="I320" s="446"/>
      <c r="J320" s="446"/>
      <c r="K320" s="437">
        <v>11</v>
      </c>
      <c r="L320" s="446">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585</v>
      </c>
      <c r="E321" s="64">
        <v>42396</v>
      </c>
      <c r="F321" s="67" t="s">
        <v>618</v>
      </c>
      <c r="G321" s="67" t="s">
        <v>929</v>
      </c>
      <c r="H321" s="74" t="s">
        <v>601</v>
      </c>
      <c r="I321" s="446"/>
      <c r="J321" s="446"/>
      <c r="K321" s="437">
        <v>30.38</v>
      </c>
      <c r="L321" s="446">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585</v>
      </c>
      <c r="E322" s="64">
        <v>42396</v>
      </c>
      <c r="F322" s="69" t="s">
        <v>619</v>
      </c>
      <c r="G322" s="67" t="s">
        <v>929</v>
      </c>
      <c r="H322" s="73" t="s">
        <v>601</v>
      </c>
      <c r="I322" s="447"/>
      <c r="J322" s="447"/>
      <c r="K322" s="438">
        <v>5.5</v>
      </c>
      <c r="L322" s="447">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708</v>
      </c>
      <c r="E323" s="64">
        <v>42396</v>
      </c>
      <c r="F323" s="67" t="s">
        <v>715</v>
      </c>
      <c r="G323" s="67" t="s">
        <v>929</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919</v>
      </c>
      <c r="E324" s="64">
        <v>42396</v>
      </c>
      <c r="F324" s="519" t="s">
        <v>754</v>
      </c>
      <c r="G324" s="67" t="s">
        <v>929</v>
      </c>
      <c r="H324" s="75" t="s">
        <v>772</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708</v>
      </c>
      <c r="E325" s="64">
        <v>42396</v>
      </c>
      <c r="F325" s="519" t="s">
        <v>1106</v>
      </c>
      <c r="G325" s="67" t="s">
        <v>929</v>
      </c>
      <c r="H325" s="519" t="s">
        <v>635</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708</v>
      </c>
      <c r="E326" s="64">
        <v>42396</v>
      </c>
      <c r="F326" s="519" t="s">
        <v>751</v>
      </c>
      <c r="G326" s="67" t="s">
        <v>929</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708</v>
      </c>
      <c r="E327" s="64">
        <v>42396</v>
      </c>
      <c r="F327" s="67" t="s">
        <v>753</v>
      </c>
      <c r="G327" s="67" t="s">
        <v>929</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922</v>
      </c>
      <c r="E328" s="81">
        <v>42396</v>
      </c>
      <c r="F328" s="82" t="s">
        <v>974</v>
      </c>
      <c r="G328" s="82"/>
      <c r="H328" s="83" t="s">
        <v>973</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705</v>
      </c>
      <c r="E329" s="64">
        <v>42397</v>
      </c>
      <c r="F329" s="67" t="s">
        <v>711</v>
      </c>
      <c r="G329" s="67" t="s">
        <v>929</v>
      </c>
      <c r="H329" s="74" t="s">
        <v>604</v>
      </c>
      <c r="I329" s="446"/>
      <c r="J329" s="446"/>
      <c r="K329" s="437">
        <v>71518.62</v>
      </c>
      <c r="L329" s="446">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585</v>
      </c>
      <c r="E330" s="64">
        <v>42397</v>
      </c>
      <c r="F330" s="67" t="s">
        <v>617</v>
      </c>
      <c r="G330" s="67" t="s">
        <v>929</v>
      </c>
      <c r="H330" s="74" t="s">
        <v>604</v>
      </c>
      <c r="I330" s="446"/>
      <c r="J330" s="446"/>
      <c r="K330" s="437">
        <v>11</v>
      </c>
      <c r="L330" s="446">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6"/>
      <c r="J331" s="446"/>
      <c r="K331" s="437">
        <v>30.38</v>
      </c>
      <c r="L331" s="446">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708</v>
      </c>
      <c r="E332" s="64">
        <v>42398</v>
      </c>
      <c r="F332" s="67" t="s">
        <v>706</v>
      </c>
      <c r="G332" s="67" t="s">
        <v>935</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708</v>
      </c>
      <c r="E333" s="64">
        <v>42398</v>
      </c>
      <c r="F333" s="67" t="s">
        <v>715</v>
      </c>
      <c r="G333" s="67" t="s">
        <v>929</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708</v>
      </c>
      <c r="E334" s="64">
        <v>42398</v>
      </c>
      <c r="F334" s="67" t="s">
        <v>725</v>
      </c>
      <c r="G334" s="67" t="s">
        <v>928</v>
      </c>
      <c r="H334" s="74" t="s">
        <v>726</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708</v>
      </c>
      <c r="E335" s="64">
        <v>42398</v>
      </c>
      <c r="F335" s="67" t="s">
        <v>727</v>
      </c>
      <c r="G335" s="67" t="s">
        <v>928</v>
      </c>
      <c r="H335" s="74" t="s">
        <v>726</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585</v>
      </c>
      <c r="E336" s="64">
        <v>42398</v>
      </c>
      <c r="F336" s="351" t="s">
        <v>743</v>
      </c>
      <c r="G336" s="67" t="s">
        <v>928</v>
      </c>
      <c r="H336" s="74" t="s">
        <v>726</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585</v>
      </c>
      <c r="E337" s="95">
        <v>42398</v>
      </c>
      <c r="F337" s="96" t="s">
        <v>771</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705</v>
      </c>
      <c r="E338" s="64">
        <v>42398</v>
      </c>
      <c r="F338" s="67" t="s">
        <v>749</v>
      </c>
      <c r="G338" s="67" t="s">
        <v>928</v>
      </c>
      <c r="H338" s="67" t="s">
        <v>750</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x</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923</v>
      </c>
      <c r="E339" s="64">
        <v>42398</v>
      </c>
      <c r="F339" s="67" t="s">
        <v>747</v>
      </c>
      <c r="G339" s="67" t="s">
        <v>928</v>
      </c>
      <c r="H339" s="67" t="s">
        <v>772</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x</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920</v>
      </c>
      <c r="E340" s="64">
        <v>42398</v>
      </c>
      <c r="F340" s="67" t="s">
        <v>754</v>
      </c>
      <c r="G340" s="67" t="s">
        <v>929</v>
      </c>
      <c r="H340" s="75" t="s">
        <v>772</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927</v>
      </c>
      <c r="E341" s="64">
        <v>42398</v>
      </c>
      <c r="F341" s="67" t="s">
        <v>764</v>
      </c>
      <c r="G341" s="67" t="s">
        <v>928</v>
      </c>
      <c r="H341" s="75" t="s">
        <v>772</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x</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708</v>
      </c>
      <c r="E342" s="64">
        <v>42398</v>
      </c>
      <c r="F342" s="67" t="s">
        <v>769</v>
      </c>
      <c r="G342" s="67" t="s">
        <v>928</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x</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708</v>
      </c>
      <c r="E343" s="64">
        <v>42398</v>
      </c>
      <c r="F343" s="67" t="s">
        <v>770</v>
      </c>
      <c r="G343" s="67" t="s">
        <v>928</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924</v>
      </c>
      <c r="E344" s="64">
        <v>42398</v>
      </c>
      <c r="F344" s="67" t="s">
        <v>785</v>
      </c>
      <c r="G344" s="67" t="s">
        <v>850</v>
      </c>
      <c r="H344" s="352" t="s">
        <v>818</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924</v>
      </c>
      <c r="E345" s="64">
        <v>42398</v>
      </c>
      <c r="F345" s="67" t="s">
        <v>786</v>
      </c>
      <c r="G345" s="67" t="s">
        <v>850</v>
      </c>
      <c r="H345" s="74" t="s">
        <v>818</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708</v>
      </c>
      <c r="E346" s="64">
        <v>42399</v>
      </c>
      <c r="F346" s="67" t="s">
        <v>1107</v>
      </c>
      <c r="G346" s="67" t="s">
        <v>929</v>
      </c>
      <c r="H346" s="75" t="s">
        <v>637</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708</v>
      </c>
      <c r="E347" s="64">
        <v>42399</v>
      </c>
      <c r="F347" s="67" t="s">
        <v>751</v>
      </c>
      <c r="G347" s="67" t="s">
        <v>929</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708</v>
      </c>
      <c r="E348" s="64">
        <v>42399</v>
      </c>
      <c r="F348" s="69" t="s">
        <v>753</v>
      </c>
      <c r="G348" s="67" t="s">
        <v>929</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708</v>
      </c>
      <c r="E349" s="64">
        <v>42399</v>
      </c>
      <c r="F349" s="67" t="s">
        <v>1108</v>
      </c>
      <c r="G349" s="67" t="s">
        <v>929</v>
      </c>
      <c r="H349" s="76" t="s">
        <v>632</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708</v>
      </c>
      <c r="E350" s="64">
        <v>42399</v>
      </c>
      <c r="F350" s="67" t="s">
        <v>751</v>
      </c>
      <c r="G350" s="67" t="s">
        <v>929</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708</v>
      </c>
      <c r="E351" s="64">
        <v>42399</v>
      </c>
      <c r="F351" s="67" t="s">
        <v>753</v>
      </c>
      <c r="G351" s="67" t="s">
        <v>929</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708</v>
      </c>
      <c r="E352" s="64">
        <v>42399</v>
      </c>
      <c r="F352" s="67" t="s">
        <v>1108</v>
      </c>
      <c r="G352" s="67" t="s">
        <v>929</v>
      </c>
      <c r="H352" s="76" t="s">
        <v>632</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708</v>
      </c>
      <c r="E353" s="64">
        <v>42399</v>
      </c>
      <c r="F353" s="67" t="s">
        <v>751</v>
      </c>
      <c r="G353" s="67" t="s">
        <v>929</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708</v>
      </c>
      <c r="E354" s="64">
        <v>42399</v>
      </c>
      <c r="F354" s="67" t="s">
        <v>753</v>
      </c>
      <c r="G354" s="67" t="s">
        <v>929</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925</v>
      </c>
      <c r="E355" s="64">
        <v>42399</v>
      </c>
      <c r="F355" s="67" t="s">
        <v>785</v>
      </c>
      <c r="G355" s="67" t="s">
        <v>851</v>
      </c>
      <c r="H355" s="74" t="s">
        <v>818</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925</v>
      </c>
      <c r="E356" s="64">
        <v>42399</v>
      </c>
      <c r="F356" s="67" t="s">
        <v>786</v>
      </c>
      <c r="G356" s="995" t="s">
        <v>851</v>
      </c>
      <c r="H356" s="74" t="s">
        <v>818</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926</v>
      </c>
      <c r="E357" s="64">
        <v>42400</v>
      </c>
      <c r="F357" s="67" t="s">
        <v>800</v>
      </c>
      <c r="G357" s="67" t="s">
        <v>852</v>
      </c>
      <c r="H357" s="74" t="s">
        <v>824</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926</v>
      </c>
      <c r="E358" s="64">
        <v>42400</v>
      </c>
      <c r="F358" s="67" t="s">
        <v>801</v>
      </c>
      <c r="G358" s="67" t="s">
        <v>852</v>
      </c>
      <c r="H358" s="74" t="s">
        <v>824</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975</v>
      </c>
      <c r="E359" s="64">
        <v>42400</v>
      </c>
      <c r="F359" s="67" t="s">
        <v>785</v>
      </c>
      <c r="G359" s="67" t="s">
        <v>853</v>
      </c>
      <c r="H359" s="74" t="s">
        <v>854</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975</v>
      </c>
      <c r="E360" s="64">
        <v>42400</v>
      </c>
      <c r="F360" s="67" t="s">
        <v>786</v>
      </c>
      <c r="G360" s="67" t="s">
        <v>853</v>
      </c>
      <c r="H360" s="74" t="s">
        <v>854</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976</v>
      </c>
      <c r="E361" s="64">
        <v>42400</v>
      </c>
      <c r="F361" s="67" t="s">
        <v>804</v>
      </c>
      <c r="G361" s="67" t="s">
        <v>855</v>
      </c>
      <c r="H361" s="74" t="s">
        <v>856</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976</v>
      </c>
      <c r="E362" s="64">
        <v>42400</v>
      </c>
      <c r="F362" s="67" t="s">
        <v>805</v>
      </c>
      <c r="G362" s="67" t="s">
        <v>855</v>
      </c>
      <c r="H362" s="74" t="s">
        <v>856</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977</v>
      </c>
      <c r="E363" s="64">
        <v>42400</v>
      </c>
      <c r="F363" s="67" t="s">
        <v>806</v>
      </c>
      <c r="G363" s="67" t="s">
        <v>857</v>
      </c>
      <c r="H363" s="74" t="s">
        <v>858</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977</v>
      </c>
      <c r="E364" s="64">
        <v>42400</v>
      </c>
      <c r="F364" s="67" t="s">
        <v>807</v>
      </c>
      <c r="G364" s="67" t="s">
        <v>857</v>
      </c>
      <c r="H364" s="74" t="s">
        <v>858</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978</v>
      </c>
      <c r="E365" s="81">
        <v>42400</v>
      </c>
      <c r="F365" s="82" t="s">
        <v>974</v>
      </c>
      <c r="G365" s="82"/>
      <c r="H365" s="83" t="s">
        <v>973</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979</v>
      </c>
      <c r="E366" s="95">
        <v>42400</v>
      </c>
      <c r="F366" s="96" t="s">
        <v>808</v>
      </c>
      <c r="G366" s="96"/>
      <c r="H366" s="97" t="s">
        <v>859</v>
      </c>
      <c r="I366" s="452"/>
      <c r="J366" s="452"/>
      <c r="K366" s="443"/>
      <c r="L366" s="452"/>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C01</v>
      </c>
      <c r="B367" s="63">
        <f t="shared" si="35"/>
        <v>2</v>
      </c>
      <c r="C367" s="64">
        <v>42401</v>
      </c>
      <c r="D367" s="64" t="s">
        <v>878</v>
      </c>
      <c r="E367" s="64">
        <v>42384</v>
      </c>
      <c r="F367" s="67" t="s">
        <v>1009</v>
      </c>
      <c r="G367" s="995" t="s">
        <v>1030</v>
      </c>
      <c r="H367" s="74" t="s">
        <v>623</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C01</v>
      </c>
      <c r="B368" s="63">
        <f t="shared" si="35"/>
        <v>2</v>
      </c>
      <c r="C368" s="64">
        <v>42401</v>
      </c>
      <c r="D368" s="64" t="s">
        <v>878</v>
      </c>
      <c r="E368" s="64">
        <v>42384</v>
      </c>
      <c r="F368" s="67" t="s">
        <v>1010</v>
      </c>
      <c r="G368" s="995" t="s">
        <v>1030</v>
      </c>
      <c r="H368" s="74" t="s">
        <v>623</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C02</v>
      </c>
      <c r="B369" s="63">
        <f t="shared" si="35"/>
        <v>2</v>
      </c>
      <c r="C369" s="64">
        <v>42402</v>
      </c>
      <c r="D369" s="64" t="s">
        <v>879</v>
      </c>
      <c r="E369" s="64">
        <v>42402</v>
      </c>
      <c r="F369" s="67" t="s">
        <v>1011</v>
      </c>
      <c r="G369" s="995" t="s">
        <v>1031</v>
      </c>
      <c r="H369" s="74" t="s">
        <v>841</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C02</v>
      </c>
      <c r="B370" s="63">
        <f t="shared" si="35"/>
        <v>2</v>
      </c>
      <c r="C370" s="64">
        <v>42402</v>
      </c>
      <c r="D370" s="64" t="s">
        <v>879</v>
      </c>
      <c r="E370" s="64">
        <v>42402</v>
      </c>
      <c r="F370" s="67" t="s">
        <v>1012</v>
      </c>
      <c r="G370" s="995" t="s">
        <v>1031</v>
      </c>
      <c r="H370" s="74" t="s">
        <v>841</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705</v>
      </c>
      <c r="E371" s="64">
        <v>42402</v>
      </c>
      <c r="F371" s="67" t="s">
        <v>1054</v>
      </c>
      <c r="G371" s="67" t="s">
        <v>929</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708</v>
      </c>
      <c r="E372" s="64">
        <v>42402</v>
      </c>
      <c r="F372" s="67" t="s">
        <v>1106</v>
      </c>
      <c r="G372" s="67" t="s">
        <v>929</v>
      </c>
      <c r="H372" s="67" t="s">
        <v>635</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708</v>
      </c>
      <c r="E373" s="150">
        <v>42402</v>
      </c>
      <c r="F373" s="94" t="s">
        <v>751</v>
      </c>
      <c r="G373" s="67" t="s">
        <v>929</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708</v>
      </c>
      <c r="E374" s="64">
        <v>42402</v>
      </c>
      <c r="F374" s="67" t="s">
        <v>753</v>
      </c>
      <c r="G374" s="67" t="s">
        <v>929</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705</v>
      </c>
      <c r="E375" s="64">
        <v>42403</v>
      </c>
      <c r="F375" s="67" t="s">
        <v>1064</v>
      </c>
      <c r="G375" s="67" t="s">
        <v>928</v>
      </c>
      <c r="H375" s="7" t="s">
        <v>602</v>
      </c>
      <c r="I375" s="446"/>
      <c r="J375" s="446"/>
      <c r="K375" s="437">
        <v>97740.36</v>
      </c>
      <c r="L375" s="446">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585</v>
      </c>
      <c r="E376" s="320">
        <v>42403</v>
      </c>
      <c r="F376" s="321" t="s">
        <v>1080</v>
      </c>
      <c r="G376" s="67" t="s">
        <v>928</v>
      </c>
      <c r="H376" s="322" t="s">
        <v>602</v>
      </c>
      <c r="I376" s="446"/>
      <c r="J376" s="446"/>
      <c r="K376" s="437">
        <v>54.22</v>
      </c>
      <c r="L376" s="446">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585</v>
      </c>
      <c r="E377" s="320">
        <v>42403</v>
      </c>
      <c r="F377" s="321" t="s">
        <v>1081</v>
      </c>
      <c r="G377" s="67" t="s">
        <v>928</v>
      </c>
      <c r="H377" s="322" t="s">
        <v>602</v>
      </c>
      <c r="I377" s="446"/>
      <c r="J377" s="446"/>
      <c r="K377" s="437">
        <v>5.42</v>
      </c>
      <c r="L377" s="446">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708</v>
      </c>
      <c r="E378" s="64">
        <v>42403</v>
      </c>
      <c r="F378" s="67" t="s">
        <v>716</v>
      </c>
      <c r="G378" s="67" t="s">
        <v>928</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x</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C03</v>
      </c>
      <c r="B379" s="63">
        <f t="shared" si="35"/>
        <v>2</v>
      </c>
      <c r="C379" s="64">
        <v>42403</v>
      </c>
      <c r="D379" s="64" t="s">
        <v>880</v>
      </c>
      <c r="E379" s="64">
        <v>42403</v>
      </c>
      <c r="F379" s="67" t="s">
        <v>1013</v>
      </c>
      <c r="G379" s="995" t="s">
        <v>1032</v>
      </c>
      <c r="H379" s="74" t="s">
        <v>824</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C03</v>
      </c>
      <c r="B380" s="63">
        <f t="shared" si="35"/>
        <v>2</v>
      </c>
      <c r="C380" s="64">
        <v>42403</v>
      </c>
      <c r="D380" s="64" t="s">
        <v>880</v>
      </c>
      <c r="E380" s="64">
        <v>42403</v>
      </c>
      <c r="F380" s="67" t="s">
        <v>1014</v>
      </c>
      <c r="G380" s="995" t="s">
        <v>1032</v>
      </c>
      <c r="H380" s="74" t="s">
        <v>824</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C04</v>
      </c>
      <c r="B381" s="63">
        <f t="shared" si="35"/>
        <v>2</v>
      </c>
      <c r="C381" s="64">
        <v>42403</v>
      </c>
      <c r="D381" s="64" t="s">
        <v>881</v>
      </c>
      <c r="E381" s="64">
        <v>42403</v>
      </c>
      <c r="F381" s="67" t="s">
        <v>1015</v>
      </c>
      <c r="G381" s="995" t="s">
        <v>1033</v>
      </c>
      <c r="H381" s="74" t="s">
        <v>818</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C04</v>
      </c>
      <c r="B382" s="63">
        <f t="shared" si="35"/>
        <v>2</v>
      </c>
      <c r="C382" s="64">
        <v>42403</v>
      </c>
      <c r="D382" s="64" t="s">
        <v>881</v>
      </c>
      <c r="E382" s="64">
        <v>42403</v>
      </c>
      <c r="F382" s="67" t="s">
        <v>1016</v>
      </c>
      <c r="G382" s="995" t="s">
        <v>1033</v>
      </c>
      <c r="H382" s="74" t="s">
        <v>818</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705</v>
      </c>
      <c r="E383" s="64">
        <v>42403</v>
      </c>
      <c r="F383" s="67" t="s">
        <v>1055</v>
      </c>
      <c r="G383" s="67" t="s">
        <v>930</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705</v>
      </c>
      <c r="E384" s="64">
        <v>42403</v>
      </c>
      <c r="F384" s="67" t="s">
        <v>1056</v>
      </c>
      <c r="G384" s="67" t="s">
        <v>929</v>
      </c>
      <c r="H384" s="74" t="s">
        <v>1233</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708</v>
      </c>
      <c r="E385" s="64">
        <v>42403</v>
      </c>
      <c r="F385" s="67" t="s">
        <v>1109</v>
      </c>
      <c r="G385" s="67" t="s">
        <v>929</v>
      </c>
      <c r="H385" s="7" t="s">
        <v>634</v>
      </c>
      <c r="I385" s="446"/>
      <c r="J385" s="446"/>
      <c r="K385" s="437"/>
      <c r="L385" s="446"/>
      <c r="M385" s="65">
        <v>100000000</v>
      </c>
      <c r="N385" s="66" t="s">
        <v>8</v>
      </c>
      <c r="O385" s="66" t="s">
        <v>26</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708</v>
      </c>
      <c r="E386" s="64">
        <v>42403</v>
      </c>
      <c r="F386" s="67" t="s">
        <v>751</v>
      </c>
      <c r="G386" s="67" t="s">
        <v>929</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708</v>
      </c>
      <c r="E387" s="64">
        <v>42403</v>
      </c>
      <c r="F387" s="67" t="s">
        <v>753</v>
      </c>
      <c r="G387" s="67" t="s">
        <v>929</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708</v>
      </c>
      <c r="E388" s="64">
        <v>42403</v>
      </c>
      <c r="F388" s="67" t="s">
        <v>1110</v>
      </c>
      <c r="G388" s="67" t="s">
        <v>929</v>
      </c>
      <c r="H388" s="7" t="s">
        <v>631</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708</v>
      </c>
      <c r="E389" s="64">
        <v>42403</v>
      </c>
      <c r="F389" s="67" t="s">
        <v>751</v>
      </c>
      <c r="G389" s="67" t="s">
        <v>929</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708</v>
      </c>
      <c r="E390" s="64">
        <v>42403</v>
      </c>
      <c r="F390" s="67" t="s">
        <v>753</v>
      </c>
      <c r="G390" s="67" t="s">
        <v>929</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708</v>
      </c>
      <c r="E391" s="64">
        <v>42403</v>
      </c>
      <c r="F391" s="67" t="s">
        <v>1111</v>
      </c>
      <c r="G391" s="67" t="s">
        <v>929</v>
      </c>
      <c r="H391" s="74" t="s">
        <v>627</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708</v>
      </c>
      <c r="E392" s="64">
        <v>42403</v>
      </c>
      <c r="F392" s="67" t="s">
        <v>751</v>
      </c>
      <c r="G392" s="67" t="s">
        <v>929</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708</v>
      </c>
      <c r="E393" s="64">
        <v>42403</v>
      </c>
      <c r="F393" s="67" t="s">
        <v>753</v>
      </c>
      <c r="G393" s="67" t="s">
        <v>929</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708</v>
      </c>
      <c r="E394" s="64">
        <v>42403</v>
      </c>
      <c r="F394" s="67" t="s">
        <v>1112</v>
      </c>
      <c r="G394" s="67" t="s">
        <v>929</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708</v>
      </c>
      <c r="E395" s="64">
        <v>42403</v>
      </c>
      <c r="F395" s="67" t="s">
        <v>751</v>
      </c>
      <c r="G395" s="67" t="s">
        <v>929</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708</v>
      </c>
      <c r="E396" s="150">
        <v>42403</v>
      </c>
      <c r="F396" s="94" t="s">
        <v>753</v>
      </c>
      <c r="G396" s="67" t="s">
        <v>929</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T01</v>
      </c>
      <c r="B397" s="63">
        <f t="shared" si="36"/>
        <v>2</v>
      </c>
      <c r="C397" s="64">
        <v>42403</v>
      </c>
      <c r="D397" s="64" t="s">
        <v>884</v>
      </c>
      <c r="E397" s="64">
        <v>42403</v>
      </c>
      <c r="F397" s="67" t="s">
        <v>764</v>
      </c>
      <c r="G397" s="67" t="s">
        <v>928</v>
      </c>
      <c r="H397" s="75" t="s">
        <v>772</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C05</v>
      </c>
      <c r="B398" s="63">
        <f t="shared" si="36"/>
        <v>2</v>
      </c>
      <c r="C398" s="64">
        <v>42404</v>
      </c>
      <c r="D398" s="64" t="s">
        <v>882</v>
      </c>
      <c r="E398" s="64">
        <v>42404</v>
      </c>
      <c r="F398" s="67" t="s">
        <v>780</v>
      </c>
      <c r="G398" s="67" t="s">
        <v>1034</v>
      </c>
      <c r="H398" s="352" t="s">
        <v>818</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C05</v>
      </c>
      <c r="B399" s="63">
        <f t="shared" si="36"/>
        <v>2</v>
      </c>
      <c r="C399" s="64">
        <v>42404</v>
      </c>
      <c r="D399" s="64" t="s">
        <v>882</v>
      </c>
      <c r="E399" s="64">
        <v>42404</v>
      </c>
      <c r="F399" s="67" t="s">
        <v>781</v>
      </c>
      <c r="G399" s="67" t="s">
        <v>1034</v>
      </c>
      <c r="H399" s="74" t="s">
        <v>818</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T02</v>
      </c>
      <c r="B400" s="63">
        <f t="shared" si="36"/>
        <v>2</v>
      </c>
      <c r="C400" s="150">
        <v>42404</v>
      </c>
      <c r="D400" s="64" t="s">
        <v>913</v>
      </c>
      <c r="E400" s="150">
        <v>42404</v>
      </c>
      <c r="F400" s="94" t="s">
        <v>754</v>
      </c>
      <c r="G400" s="67" t="s">
        <v>929</v>
      </c>
      <c r="H400" s="75" t="s">
        <v>772</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705</v>
      </c>
      <c r="E401" s="64">
        <v>42405</v>
      </c>
      <c r="F401" s="67" t="s">
        <v>1057</v>
      </c>
      <c r="G401" s="67" t="s">
        <v>929</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705</v>
      </c>
      <c r="E402" s="64">
        <v>42405</v>
      </c>
      <c r="F402" s="67" t="s">
        <v>1062</v>
      </c>
      <c r="G402" s="67" t="s">
        <v>929</v>
      </c>
      <c r="H402" s="74" t="s">
        <v>604</v>
      </c>
      <c r="I402" s="446"/>
      <c r="J402" s="446"/>
      <c r="K402" s="437">
        <v>7743.32</v>
      </c>
      <c r="L402" s="446">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585</v>
      </c>
      <c r="E403" s="64">
        <v>42405</v>
      </c>
      <c r="F403" s="67" t="s">
        <v>1075</v>
      </c>
      <c r="G403" s="67" t="s">
        <v>929</v>
      </c>
      <c r="H403" s="74" t="s">
        <v>604</v>
      </c>
      <c r="I403" s="446"/>
      <c r="J403" s="446"/>
      <c r="K403" s="437">
        <v>107.34</v>
      </c>
      <c r="L403" s="446">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585</v>
      </c>
      <c r="E404" s="64">
        <v>42405</v>
      </c>
      <c r="F404" s="67" t="s">
        <v>1076</v>
      </c>
      <c r="G404" s="67" t="s">
        <v>929</v>
      </c>
      <c r="H404" s="74" t="s">
        <v>604</v>
      </c>
      <c r="I404" s="446"/>
      <c r="J404" s="446"/>
      <c r="K404" s="437">
        <v>10.73</v>
      </c>
      <c r="L404" s="446">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585</v>
      </c>
      <c r="E405" s="64">
        <v>42405</v>
      </c>
      <c r="F405" s="67" t="s">
        <v>1077</v>
      </c>
      <c r="G405" s="67" t="s">
        <v>929</v>
      </c>
      <c r="H405" s="74" t="s">
        <v>604</v>
      </c>
      <c r="I405" s="446"/>
      <c r="J405" s="446"/>
      <c r="K405" s="437">
        <v>63.61</v>
      </c>
      <c r="L405" s="446">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585</v>
      </c>
      <c r="E406" s="64">
        <v>42405</v>
      </c>
      <c r="F406" s="67" t="s">
        <v>1078</v>
      </c>
      <c r="G406" s="67" t="s">
        <v>929</v>
      </c>
      <c r="H406" s="74" t="s">
        <v>604</v>
      </c>
      <c r="I406" s="446"/>
      <c r="J406" s="446"/>
      <c r="K406" s="437">
        <v>35</v>
      </c>
      <c r="L406" s="446">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585</v>
      </c>
      <c r="E407" s="64">
        <v>42405</v>
      </c>
      <c r="F407" s="67" t="s">
        <v>1079</v>
      </c>
      <c r="G407" s="67"/>
      <c r="H407" s="74" t="s">
        <v>604</v>
      </c>
      <c r="I407" s="446"/>
      <c r="J407" s="446"/>
      <c r="K407" s="437"/>
      <c r="L407" s="446"/>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C06</v>
      </c>
      <c r="B408" s="63">
        <f t="shared" si="36"/>
        <v>2</v>
      </c>
      <c r="C408" s="320">
        <f t="shared" si="37"/>
        <v>42405</v>
      </c>
      <c r="D408" s="64" t="s">
        <v>883</v>
      </c>
      <c r="E408" s="320">
        <v>42405</v>
      </c>
      <c r="F408" s="82" t="s">
        <v>974</v>
      </c>
      <c r="G408" s="82"/>
      <c r="H408" s="83" t="s">
        <v>973</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C07</v>
      </c>
      <c r="B409" s="63">
        <f t="shared" si="36"/>
        <v>2</v>
      </c>
      <c r="C409" s="64">
        <v>42406</v>
      </c>
      <c r="D409" s="64" t="s">
        <v>885</v>
      </c>
      <c r="E409" s="64">
        <v>42406</v>
      </c>
      <c r="F409" s="67" t="s">
        <v>1015</v>
      </c>
      <c r="G409" s="67" t="s">
        <v>1035</v>
      </c>
      <c r="H409" s="74" t="s">
        <v>818</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C07</v>
      </c>
      <c r="B410" s="63">
        <f t="shared" si="36"/>
        <v>2</v>
      </c>
      <c r="C410" s="64">
        <v>42406</v>
      </c>
      <c r="D410" s="64" t="s">
        <v>885</v>
      </c>
      <c r="E410" s="64">
        <v>42406</v>
      </c>
      <c r="F410" s="67" t="s">
        <v>1016</v>
      </c>
      <c r="G410" s="67" t="s">
        <v>1035</v>
      </c>
      <c r="H410" s="74" t="s">
        <v>818</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708</v>
      </c>
      <c r="E411" s="150">
        <v>42415</v>
      </c>
      <c r="F411" s="94" t="s">
        <v>1058</v>
      </c>
      <c r="G411" s="67" t="s">
        <v>929</v>
      </c>
      <c r="H411" s="74" t="s">
        <v>719</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708</v>
      </c>
      <c r="E412" s="64">
        <v>42415</v>
      </c>
      <c r="F412" s="67" t="s">
        <v>1059</v>
      </c>
      <c r="G412" s="67" t="s">
        <v>929</v>
      </c>
      <c r="H412" s="350" t="s">
        <v>720</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708</v>
      </c>
      <c r="E413" s="64">
        <v>42415</v>
      </c>
      <c r="F413" s="67" t="s">
        <v>1060</v>
      </c>
      <c r="G413" s="67" t="s">
        <v>929</v>
      </c>
      <c r="H413" s="350" t="s">
        <v>721</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708</v>
      </c>
      <c r="E414" s="64">
        <v>42415</v>
      </c>
      <c r="F414" s="67" t="s">
        <v>1061</v>
      </c>
      <c r="G414" s="67" t="s">
        <v>929</v>
      </c>
      <c r="H414" s="74" t="s">
        <v>722</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708</v>
      </c>
      <c r="E415" s="64">
        <v>42415</v>
      </c>
      <c r="F415" s="67" t="s">
        <v>769</v>
      </c>
      <c r="G415" s="67" t="s">
        <v>928</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x</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708</v>
      </c>
      <c r="E416" s="64">
        <v>42415</v>
      </c>
      <c r="F416" s="67" t="s">
        <v>770</v>
      </c>
      <c r="G416" s="67" t="s">
        <v>928</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x</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708</v>
      </c>
      <c r="E417" s="64">
        <v>42415</v>
      </c>
      <c r="F417" s="67" t="s">
        <v>769</v>
      </c>
      <c r="G417" s="67" t="s">
        <v>928</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x</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708</v>
      </c>
      <c r="E418" s="64">
        <v>42415</v>
      </c>
      <c r="F418" s="67" t="s">
        <v>770</v>
      </c>
      <c r="G418" s="67" t="s">
        <v>928</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x</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C08</v>
      </c>
      <c r="B419" s="63">
        <f t="shared" si="36"/>
        <v>2</v>
      </c>
      <c r="C419" s="320">
        <f>E419</f>
        <v>42417</v>
      </c>
      <c r="D419" s="64" t="s">
        <v>886</v>
      </c>
      <c r="E419" s="320">
        <v>42417</v>
      </c>
      <c r="F419" s="82" t="s">
        <v>974</v>
      </c>
      <c r="G419" s="82"/>
      <c r="H419" s="83" t="s">
        <v>973</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C09</v>
      </c>
      <c r="B420" s="63">
        <f t="shared" si="36"/>
        <v>2</v>
      </c>
      <c r="C420" s="64">
        <v>42418</v>
      </c>
      <c r="D420" s="64" t="s">
        <v>887</v>
      </c>
      <c r="E420" s="64">
        <v>42418</v>
      </c>
      <c r="F420" s="67" t="s">
        <v>1015</v>
      </c>
      <c r="G420" s="67" t="s">
        <v>1036</v>
      </c>
      <c r="H420" s="74" t="s">
        <v>818</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C09</v>
      </c>
      <c r="B421" s="63">
        <f t="shared" si="36"/>
        <v>2</v>
      </c>
      <c r="C421" s="64">
        <v>42418</v>
      </c>
      <c r="D421" s="64" t="s">
        <v>887</v>
      </c>
      <c r="E421" s="64">
        <v>42418</v>
      </c>
      <c r="F421" s="67" t="s">
        <v>1016</v>
      </c>
      <c r="G421" s="67" t="s">
        <v>1036</v>
      </c>
      <c r="H421" s="74" t="s">
        <v>818</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C10</v>
      </c>
      <c r="B422" s="63">
        <f t="shared" si="36"/>
        <v>2</v>
      </c>
      <c r="C422" s="64">
        <v>42418</v>
      </c>
      <c r="D422" s="64" t="s">
        <v>888</v>
      </c>
      <c r="E422" s="64">
        <v>42418</v>
      </c>
      <c r="F422" s="67" t="s">
        <v>1013</v>
      </c>
      <c r="G422" s="67" t="s">
        <v>1037</v>
      </c>
      <c r="H422" s="74" t="s">
        <v>824</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C10</v>
      </c>
      <c r="B423" s="63">
        <f t="shared" si="36"/>
        <v>2</v>
      </c>
      <c r="C423" s="64">
        <v>42418</v>
      </c>
      <c r="D423" s="64" t="s">
        <v>888</v>
      </c>
      <c r="E423" s="64">
        <v>42418</v>
      </c>
      <c r="F423" s="67" t="s">
        <v>1014</v>
      </c>
      <c r="G423" s="67" t="s">
        <v>1037</v>
      </c>
      <c r="H423" s="74" t="s">
        <v>824</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705</v>
      </c>
      <c r="E424" s="64">
        <v>42418</v>
      </c>
      <c r="F424" s="67" t="s">
        <v>1063</v>
      </c>
      <c r="G424" s="67" t="s">
        <v>929</v>
      </c>
      <c r="H424" s="74" t="s">
        <v>601</v>
      </c>
      <c r="I424" s="446"/>
      <c r="J424" s="446"/>
      <c r="K424" s="437">
        <v>1750.86</v>
      </c>
      <c r="L424" s="446">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585</v>
      </c>
      <c r="E425" s="64">
        <v>42418</v>
      </c>
      <c r="F425" s="67" t="s">
        <v>1075</v>
      </c>
      <c r="G425" s="67" t="s">
        <v>929</v>
      </c>
      <c r="H425" s="74" t="s">
        <v>601</v>
      </c>
      <c r="I425" s="446"/>
      <c r="J425" s="446"/>
      <c r="K425" s="437">
        <v>59.4</v>
      </c>
      <c r="L425" s="446">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585</v>
      </c>
      <c r="E426" s="64">
        <v>42418</v>
      </c>
      <c r="F426" s="67" t="s">
        <v>1076</v>
      </c>
      <c r="G426" s="67" t="s">
        <v>929</v>
      </c>
      <c r="H426" s="74" t="s">
        <v>601</v>
      </c>
      <c r="I426" s="446"/>
      <c r="J426" s="446"/>
      <c r="K426" s="437">
        <v>5.94</v>
      </c>
      <c r="L426" s="446">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585</v>
      </c>
      <c r="E427" s="64">
        <v>42418</v>
      </c>
      <c r="F427" s="67" t="s">
        <v>1077</v>
      </c>
      <c r="G427" s="67" t="s">
        <v>929</v>
      </c>
      <c r="H427" s="74" t="s">
        <v>601</v>
      </c>
      <c r="I427" s="446"/>
      <c r="J427" s="446"/>
      <c r="K427" s="437">
        <v>96.8</v>
      </c>
      <c r="L427" s="446">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585</v>
      </c>
      <c r="E428" s="64">
        <v>42418</v>
      </c>
      <c r="F428" s="67" t="s">
        <v>1104</v>
      </c>
      <c r="G428" s="67" t="s">
        <v>929</v>
      </c>
      <c r="H428" s="74" t="s">
        <v>601</v>
      </c>
      <c r="I428" s="446"/>
      <c r="J428" s="446"/>
      <c r="K428" s="437">
        <v>247</v>
      </c>
      <c r="L428" s="446">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585</v>
      </c>
      <c r="E429" s="64">
        <v>42418</v>
      </c>
      <c r="F429" s="67" t="s">
        <v>1079</v>
      </c>
      <c r="G429" s="67"/>
      <c r="H429" s="74" t="s">
        <v>601</v>
      </c>
      <c r="I429" s="446"/>
      <c r="J429" s="446"/>
      <c r="K429" s="437"/>
      <c r="L429" s="446"/>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708</v>
      </c>
      <c r="E430" s="64">
        <v>42418</v>
      </c>
      <c r="F430" s="67" t="s">
        <v>1065</v>
      </c>
      <c r="G430" s="67" t="s">
        <v>929</v>
      </c>
      <c r="H430" s="74" t="s">
        <v>730</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708</v>
      </c>
      <c r="E431" s="64">
        <v>42418</v>
      </c>
      <c r="F431" s="67" t="s">
        <v>1066</v>
      </c>
      <c r="G431" s="67" t="s">
        <v>929</v>
      </c>
      <c r="H431" s="74" t="s">
        <v>731</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708</v>
      </c>
      <c r="E432" s="64">
        <v>42418</v>
      </c>
      <c r="F432" s="67" t="s">
        <v>1067</v>
      </c>
      <c r="G432" s="67" t="s">
        <v>929</v>
      </c>
      <c r="H432" s="74" t="s">
        <v>732</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708</v>
      </c>
      <c r="E433" s="64">
        <v>42418</v>
      </c>
      <c r="F433" s="67" t="s">
        <v>1068</v>
      </c>
      <c r="G433" s="67" t="s">
        <v>929</v>
      </c>
      <c r="H433" s="74" t="s">
        <v>733</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708</v>
      </c>
      <c r="E434" s="64">
        <v>42418</v>
      </c>
      <c r="F434" s="67" t="s">
        <v>1069</v>
      </c>
      <c r="G434" s="67" t="s">
        <v>929</v>
      </c>
      <c r="H434" s="74" t="s">
        <v>734</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708</v>
      </c>
      <c r="E435" s="64">
        <v>42418</v>
      </c>
      <c r="F435" s="67" t="s">
        <v>1070</v>
      </c>
      <c r="G435" s="67" t="s">
        <v>929</v>
      </c>
      <c r="H435" s="74" t="s">
        <v>741</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708</v>
      </c>
      <c r="E436" s="64">
        <v>42418</v>
      </c>
      <c r="F436" s="67" t="s">
        <v>1071</v>
      </c>
      <c r="G436" s="67" t="s">
        <v>929</v>
      </c>
      <c r="H436" s="74" t="s">
        <v>736</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708</v>
      </c>
      <c r="E437" s="64">
        <v>42418</v>
      </c>
      <c r="F437" s="67" t="s">
        <v>1072</v>
      </c>
      <c r="G437" s="67" t="s">
        <v>929</v>
      </c>
      <c r="H437" s="74" t="s">
        <v>735</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C11</v>
      </c>
      <c r="B438" s="63">
        <f t="shared" si="36"/>
        <v>2</v>
      </c>
      <c r="C438" s="64">
        <v>42419</v>
      </c>
      <c r="D438" s="64" t="s">
        <v>889</v>
      </c>
      <c r="E438" s="64">
        <v>42419</v>
      </c>
      <c r="F438" s="67" t="s">
        <v>1017</v>
      </c>
      <c r="G438" s="67" t="s">
        <v>1038</v>
      </c>
      <c r="H438" s="74" t="s">
        <v>1039</v>
      </c>
      <c r="I438" s="451"/>
      <c r="J438" s="451"/>
      <c r="K438" s="442"/>
      <c r="L438" s="451"/>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C11</v>
      </c>
      <c r="B439" s="63">
        <f t="shared" si="36"/>
        <v>2</v>
      </c>
      <c r="C439" s="64">
        <v>42419</v>
      </c>
      <c r="D439" s="64" t="s">
        <v>889</v>
      </c>
      <c r="E439" s="64">
        <v>42419</v>
      </c>
      <c r="F439" s="67" t="s">
        <v>1018</v>
      </c>
      <c r="G439" s="67" t="s">
        <v>1038</v>
      </c>
      <c r="H439" s="74" t="s">
        <v>1039</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705</v>
      </c>
      <c r="E440" s="64">
        <v>42419</v>
      </c>
      <c r="F440" s="67" t="s">
        <v>1055</v>
      </c>
      <c r="G440" s="67" t="s">
        <v>930</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705</v>
      </c>
      <c r="E441" s="64">
        <v>42419</v>
      </c>
      <c r="F441" s="67" t="s">
        <v>1114</v>
      </c>
      <c r="G441" s="67" t="s">
        <v>929</v>
      </c>
      <c r="H441" s="67" t="s">
        <v>635</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705</v>
      </c>
      <c r="E442" s="64">
        <v>42420</v>
      </c>
      <c r="F442" s="67" t="s">
        <v>1064</v>
      </c>
      <c r="G442" s="67" t="s">
        <v>928</v>
      </c>
      <c r="H442" s="7" t="s">
        <v>602</v>
      </c>
      <c r="I442" s="446"/>
      <c r="J442" s="446"/>
      <c r="K442" s="437">
        <v>4819.12</v>
      </c>
      <c r="L442" s="446">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585</v>
      </c>
      <c r="E443" s="320">
        <v>42420</v>
      </c>
      <c r="F443" s="321" t="s">
        <v>1082</v>
      </c>
      <c r="G443" s="67" t="s">
        <v>928</v>
      </c>
      <c r="H443" s="322" t="s">
        <v>602</v>
      </c>
      <c r="I443" s="446"/>
      <c r="J443" s="446"/>
      <c r="K443" s="437">
        <v>154.44</v>
      </c>
      <c r="L443" s="446">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585</v>
      </c>
      <c r="E444" s="320">
        <v>42420</v>
      </c>
      <c r="F444" s="321" t="s">
        <v>1083</v>
      </c>
      <c r="G444" s="67" t="s">
        <v>928</v>
      </c>
      <c r="H444" s="322" t="s">
        <v>602</v>
      </c>
      <c r="I444" s="446"/>
      <c r="J444" s="446"/>
      <c r="K444" s="437">
        <v>15.44</v>
      </c>
      <c r="L444" s="446">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585</v>
      </c>
      <c r="E445" s="320">
        <v>42420</v>
      </c>
      <c r="F445" s="67" t="s">
        <v>1085</v>
      </c>
      <c r="G445" s="67" t="s">
        <v>928</v>
      </c>
      <c r="H445" s="7" t="s">
        <v>602</v>
      </c>
      <c r="I445" s="446"/>
      <c r="J445" s="446"/>
      <c r="K445" s="437">
        <v>171</v>
      </c>
      <c r="L445" s="446">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585</v>
      </c>
      <c r="E446" s="320">
        <v>42420</v>
      </c>
      <c r="F446" s="67" t="s">
        <v>1079</v>
      </c>
      <c r="G446" s="67"/>
      <c r="H446" s="7" t="s">
        <v>602</v>
      </c>
      <c r="I446" s="446"/>
      <c r="J446" s="446"/>
      <c r="K446" s="437"/>
      <c r="L446" s="446"/>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708</v>
      </c>
      <c r="E447" s="64">
        <v>42420</v>
      </c>
      <c r="F447" s="67" t="s">
        <v>717</v>
      </c>
      <c r="G447" s="67" t="s">
        <v>928</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C12</v>
      </c>
      <c r="B448" s="63">
        <f t="shared" si="36"/>
        <v>2</v>
      </c>
      <c r="C448" s="64">
        <v>42422</v>
      </c>
      <c r="D448" s="64" t="s">
        <v>890</v>
      </c>
      <c r="E448" s="64">
        <v>42422</v>
      </c>
      <c r="F448" s="67" t="s">
        <v>1015</v>
      </c>
      <c r="G448" s="67" t="s">
        <v>1040</v>
      </c>
      <c r="H448" s="352" t="s">
        <v>818</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C12</v>
      </c>
      <c r="B449" s="63">
        <f t="shared" si="36"/>
        <v>2</v>
      </c>
      <c r="C449" s="64">
        <v>42422</v>
      </c>
      <c r="D449" s="64" t="s">
        <v>890</v>
      </c>
      <c r="E449" s="64">
        <v>42422</v>
      </c>
      <c r="F449" s="67" t="s">
        <v>1016</v>
      </c>
      <c r="G449" s="67" t="s">
        <v>1040</v>
      </c>
      <c r="H449" s="74" t="s">
        <v>818</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705</v>
      </c>
      <c r="E450" s="64">
        <v>42422</v>
      </c>
      <c r="F450" s="67" t="s">
        <v>706</v>
      </c>
      <c r="G450" s="67" t="s">
        <v>930</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708</v>
      </c>
      <c r="E451" s="64">
        <v>42422</v>
      </c>
      <c r="F451" s="67" t="s">
        <v>715</v>
      </c>
      <c r="G451" s="67" t="s">
        <v>929</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708</v>
      </c>
      <c r="E452" s="64">
        <v>42422</v>
      </c>
      <c r="F452" s="67" t="s">
        <v>766</v>
      </c>
      <c r="G452" s="67" t="s">
        <v>928</v>
      </c>
      <c r="H452" s="74" t="s">
        <v>737</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708</v>
      </c>
      <c r="E453" s="64">
        <v>42422</v>
      </c>
      <c r="F453" s="67" t="s">
        <v>767</v>
      </c>
      <c r="G453" s="67" t="s">
        <v>928</v>
      </c>
      <c r="H453" s="74" t="s">
        <v>738</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708</v>
      </c>
      <c r="E454" s="64">
        <v>42422</v>
      </c>
      <c r="F454" s="67" t="s">
        <v>768</v>
      </c>
      <c r="G454" s="67" t="s">
        <v>928</v>
      </c>
      <c r="H454" s="74" t="s">
        <v>739</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708</v>
      </c>
      <c r="E455" s="64">
        <v>42422</v>
      </c>
      <c r="F455" s="67" t="s">
        <v>1074</v>
      </c>
      <c r="G455" s="67" t="s">
        <v>928</v>
      </c>
      <c r="H455" s="74" t="s">
        <v>740</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C13</v>
      </c>
      <c r="B456" s="63">
        <f t="shared" si="36"/>
        <v>2</v>
      </c>
      <c r="C456" s="64">
        <v>42423</v>
      </c>
      <c r="D456" s="64" t="s">
        <v>891</v>
      </c>
      <c r="E456" s="64">
        <v>42423</v>
      </c>
      <c r="F456" s="69" t="s">
        <v>1019</v>
      </c>
      <c r="G456" s="67" t="s">
        <v>1041</v>
      </c>
      <c r="H456" s="74" t="s">
        <v>1042</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T03</v>
      </c>
      <c r="B457" s="63">
        <f t="shared" si="36"/>
        <v>2</v>
      </c>
      <c r="C457" s="64">
        <v>42423</v>
      </c>
      <c r="D457" s="64" t="s">
        <v>916</v>
      </c>
      <c r="E457" s="64">
        <v>42423</v>
      </c>
      <c r="F457" s="67" t="s">
        <v>754</v>
      </c>
      <c r="G457" s="67" t="s">
        <v>929</v>
      </c>
      <c r="H457" s="75" t="s">
        <v>772</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C14</v>
      </c>
      <c r="B458" s="63">
        <f t="shared" si="36"/>
        <v>2</v>
      </c>
      <c r="C458" s="64">
        <v>42424</v>
      </c>
      <c r="D458" s="64" t="s">
        <v>892</v>
      </c>
      <c r="E458" s="64">
        <v>42424</v>
      </c>
      <c r="F458" s="67" t="s">
        <v>780</v>
      </c>
      <c r="G458" s="995" t="s">
        <v>1043</v>
      </c>
      <c r="H458" s="74" t="s">
        <v>818</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C14</v>
      </c>
      <c r="B459" s="63">
        <f t="shared" ref="B459:B530" si="40">IF(C459&lt;&gt;"",MONTH(C459),"")</f>
        <v>2</v>
      </c>
      <c r="C459" s="64">
        <v>42424</v>
      </c>
      <c r="D459" s="64" t="s">
        <v>892</v>
      </c>
      <c r="E459" s="64">
        <v>42424</v>
      </c>
      <c r="F459" s="67" t="s">
        <v>781</v>
      </c>
      <c r="G459" s="995" t="s">
        <v>1043</v>
      </c>
      <c r="H459" s="74" t="s">
        <v>818</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C15</v>
      </c>
      <c r="B460" s="63">
        <f t="shared" si="40"/>
        <v>2</v>
      </c>
      <c r="C460" s="64">
        <v>42424</v>
      </c>
      <c r="D460" s="64" t="s">
        <v>893</v>
      </c>
      <c r="E460" s="64">
        <v>42424</v>
      </c>
      <c r="F460" s="67" t="s">
        <v>745</v>
      </c>
      <c r="G460" s="67" t="s">
        <v>929</v>
      </c>
      <c r="H460" s="67" t="s">
        <v>772</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705</v>
      </c>
      <c r="E461" s="64">
        <v>42424</v>
      </c>
      <c r="F461" s="67" t="s">
        <v>746</v>
      </c>
      <c r="G461" s="67" t="s">
        <v>929</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705</v>
      </c>
      <c r="E462" s="64">
        <v>42424</v>
      </c>
      <c r="F462" s="67" t="s">
        <v>748</v>
      </c>
      <c r="G462" s="67" t="s">
        <v>928</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x</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708</v>
      </c>
      <c r="E463" s="64">
        <v>42424</v>
      </c>
      <c r="F463" s="67" t="s">
        <v>1115</v>
      </c>
      <c r="G463" s="67" t="s">
        <v>929</v>
      </c>
      <c r="H463" s="67" t="s">
        <v>635</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708</v>
      </c>
      <c r="E464" s="64">
        <v>42424</v>
      </c>
      <c r="F464" s="67" t="s">
        <v>751</v>
      </c>
      <c r="G464" s="67" t="s">
        <v>929</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708</v>
      </c>
      <c r="E465" s="64">
        <v>42424</v>
      </c>
      <c r="F465" s="67" t="s">
        <v>753</v>
      </c>
      <c r="G465" s="67" t="s">
        <v>929</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708</v>
      </c>
      <c r="E466" s="64">
        <v>42424</v>
      </c>
      <c r="F466" s="67" t="s">
        <v>1073</v>
      </c>
      <c r="G466" s="67" t="s">
        <v>929</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C16</v>
      </c>
      <c r="B467" s="63">
        <f t="shared" si="40"/>
        <v>2</v>
      </c>
      <c r="C467" s="64">
        <v>42425</v>
      </c>
      <c r="D467" s="320" t="s">
        <v>894</v>
      </c>
      <c r="E467" s="64">
        <v>42425</v>
      </c>
      <c r="F467" s="67" t="s">
        <v>1020</v>
      </c>
      <c r="G467" s="995" t="s">
        <v>1044</v>
      </c>
      <c r="H467" s="74" t="s">
        <v>849</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C16</v>
      </c>
      <c r="B468" s="63">
        <f t="shared" si="40"/>
        <v>2</v>
      </c>
      <c r="C468" s="64">
        <v>42425</v>
      </c>
      <c r="D468" s="320" t="s">
        <v>894</v>
      </c>
      <c r="E468" s="64">
        <v>42425</v>
      </c>
      <c r="F468" s="67" t="s">
        <v>1021</v>
      </c>
      <c r="G468" s="67" t="s">
        <v>1044</v>
      </c>
      <c r="H468" s="74" t="s">
        <v>849</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708</v>
      </c>
      <c r="E469" s="64">
        <v>42425</v>
      </c>
      <c r="F469" s="67" t="s">
        <v>1056</v>
      </c>
      <c r="G469" s="67" t="s">
        <v>929</v>
      </c>
      <c r="H469" s="74" t="s">
        <v>1233</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C17</v>
      </c>
      <c r="B470" s="63">
        <f t="shared" si="40"/>
        <v>2</v>
      </c>
      <c r="C470" s="64">
        <v>42426</v>
      </c>
      <c r="D470" s="64" t="s">
        <v>895</v>
      </c>
      <c r="E470" s="64">
        <v>42426</v>
      </c>
      <c r="F470" s="67" t="s">
        <v>1022</v>
      </c>
      <c r="G470" s="67" t="s">
        <v>1045</v>
      </c>
      <c r="H470" s="74" t="s">
        <v>1046</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C17</v>
      </c>
      <c r="B471" s="63">
        <f t="shared" si="40"/>
        <v>2</v>
      </c>
      <c r="C471" s="64">
        <v>42426</v>
      </c>
      <c r="D471" s="64" t="s">
        <v>895</v>
      </c>
      <c r="E471" s="64">
        <v>42426</v>
      </c>
      <c r="F471" s="67" t="s">
        <v>1023</v>
      </c>
      <c r="G471" s="67" t="s">
        <v>1045</v>
      </c>
      <c r="H471" s="74" t="s">
        <v>1046</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C18</v>
      </c>
      <c r="B472" s="63">
        <f t="shared" si="40"/>
        <v>2</v>
      </c>
      <c r="C472" s="64">
        <v>42427</v>
      </c>
      <c r="D472" s="64" t="s">
        <v>896</v>
      </c>
      <c r="E472" s="64">
        <v>42427</v>
      </c>
      <c r="F472" s="67" t="s">
        <v>1024</v>
      </c>
      <c r="G472" s="67" t="s">
        <v>1047</v>
      </c>
      <c r="H472" s="74" t="s">
        <v>1048</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C19</v>
      </c>
      <c r="B473" s="63">
        <f t="shared" si="40"/>
        <v>2</v>
      </c>
      <c r="C473" s="64">
        <v>42427</v>
      </c>
      <c r="D473" s="64" t="s">
        <v>897</v>
      </c>
      <c r="E473" s="64">
        <v>42427</v>
      </c>
      <c r="F473" s="67" t="s">
        <v>1015</v>
      </c>
      <c r="G473" s="67" t="s">
        <v>1049</v>
      </c>
      <c r="H473" s="74" t="s">
        <v>818</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C19</v>
      </c>
      <c r="B474" s="63">
        <f t="shared" si="40"/>
        <v>2</v>
      </c>
      <c r="C474" s="64">
        <v>42427</v>
      </c>
      <c r="D474" s="64" t="s">
        <v>897</v>
      </c>
      <c r="E474" s="64">
        <v>42427</v>
      </c>
      <c r="F474" s="67" t="s">
        <v>1016</v>
      </c>
      <c r="G474" s="67" t="s">
        <v>1049</v>
      </c>
      <c r="H474" s="74" t="s">
        <v>818</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C20</v>
      </c>
      <c r="B475" s="63">
        <f t="shared" si="40"/>
        <v>2</v>
      </c>
      <c r="C475" s="64">
        <v>42429</v>
      </c>
      <c r="D475" s="64" t="s">
        <v>898</v>
      </c>
      <c r="E475" s="64">
        <v>42429</v>
      </c>
      <c r="F475" s="67" t="s">
        <v>1025</v>
      </c>
      <c r="G475" s="67" t="s">
        <v>1050</v>
      </c>
      <c r="H475" s="74" t="s">
        <v>824</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C20</v>
      </c>
      <c r="B476" s="63">
        <f t="shared" si="40"/>
        <v>2</v>
      </c>
      <c r="C476" s="64">
        <v>42429</v>
      </c>
      <c r="D476" s="64" t="s">
        <v>898</v>
      </c>
      <c r="E476" s="64">
        <v>42429</v>
      </c>
      <c r="F476" s="67" t="s">
        <v>1026</v>
      </c>
      <c r="G476" s="67" t="s">
        <v>1050</v>
      </c>
      <c r="H476" s="74" t="s">
        <v>824</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C21</v>
      </c>
      <c r="B477" s="63">
        <f t="shared" si="40"/>
        <v>2</v>
      </c>
      <c r="C477" s="64">
        <v>42429</v>
      </c>
      <c r="D477" s="64" t="s">
        <v>899</v>
      </c>
      <c r="E477" s="64">
        <v>42429</v>
      </c>
      <c r="F477" s="67" t="s">
        <v>1011</v>
      </c>
      <c r="G477" s="67" t="s">
        <v>1051</v>
      </c>
      <c r="H477" s="74" t="s">
        <v>841</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C21</v>
      </c>
      <c r="B478" s="63">
        <f t="shared" si="40"/>
        <v>2</v>
      </c>
      <c r="C478" s="64">
        <v>42429</v>
      </c>
      <c r="D478" s="64" t="s">
        <v>899</v>
      </c>
      <c r="E478" s="64">
        <v>42429</v>
      </c>
      <c r="F478" s="67" t="s">
        <v>1012</v>
      </c>
      <c r="G478" s="67" t="s">
        <v>1051</v>
      </c>
      <c r="H478" s="74" t="s">
        <v>841</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C22</v>
      </c>
      <c r="B479" s="63">
        <f t="shared" si="40"/>
        <v>2</v>
      </c>
      <c r="C479" s="64">
        <v>42429</v>
      </c>
      <c r="D479" s="64" t="s">
        <v>900</v>
      </c>
      <c r="E479" s="64">
        <v>42429</v>
      </c>
      <c r="F479" s="67" t="s">
        <v>1027</v>
      </c>
      <c r="G479" s="67" t="s">
        <v>1052</v>
      </c>
      <c r="H479" s="74" t="s">
        <v>1053</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C22</v>
      </c>
      <c r="B480" s="63">
        <f t="shared" si="40"/>
        <v>2</v>
      </c>
      <c r="C480" s="64">
        <v>42429</v>
      </c>
      <c r="D480" s="64" t="s">
        <v>900</v>
      </c>
      <c r="E480" s="64">
        <v>42429</v>
      </c>
      <c r="F480" s="67" t="s">
        <v>1028</v>
      </c>
      <c r="G480" s="67" t="s">
        <v>1052</v>
      </c>
      <c r="H480" s="74" t="s">
        <v>1053</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C23</v>
      </c>
      <c r="B481" s="63">
        <f t="shared" si="40"/>
        <v>2</v>
      </c>
      <c r="C481" s="95">
        <v>42429</v>
      </c>
      <c r="D481" s="64" t="s">
        <v>901</v>
      </c>
      <c r="E481" s="95">
        <v>42429</v>
      </c>
      <c r="F481" s="96" t="s">
        <v>1029</v>
      </c>
      <c r="G481" s="96"/>
      <c r="H481" s="1001" t="s">
        <v>859</v>
      </c>
      <c r="I481" s="1002"/>
      <c r="J481" s="1002"/>
      <c r="K481" s="1003"/>
      <c r="L481" s="1002"/>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C24</v>
      </c>
      <c r="B482" s="63">
        <f t="shared" si="40"/>
        <v>2</v>
      </c>
      <c r="C482" s="320">
        <v>42429</v>
      </c>
      <c r="D482" s="64" t="s">
        <v>902</v>
      </c>
      <c r="E482" s="320">
        <v>42416</v>
      </c>
      <c r="F482" s="321" t="s">
        <v>1096</v>
      </c>
      <c r="G482" s="999" t="s">
        <v>1090</v>
      </c>
      <c r="H482" s="322" t="s">
        <v>635</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C24</v>
      </c>
      <c r="B483" s="63">
        <f t="shared" si="40"/>
        <v>2</v>
      </c>
      <c r="C483" s="320">
        <v>42429</v>
      </c>
      <c r="D483" s="64" t="s">
        <v>902</v>
      </c>
      <c r="E483" s="320">
        <v>42416</v>
      </c>
      <c r="F483" s="321" t="s">
        <v>1097</v>
      </c>
      <c r="G483" s="999" t="s">
        <v>1090</v>
      </c>
      <c r="H483" s="322" t="s">
        <v>635</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878</v>
      </c>
      <c r="E484" s="320">
        <v>42400</v>
      </c>
      <c r="F484" s="67" t="s">
        <v>1195</v>
      </c>
      <c r="G484" s="995" t="s">
        <v>1197</v>
      </c>
      <c r="H484" s="74" t="s">
        <v>1117</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878</v>
      </c>
      <c r="E485" s="320">
        <v>42400</v>
      </c>
      <c r="F485" s="67" t="s">
        <v>1196</v>
      </c>
      <c r="G485" s="995" t="s">
        <v>1197</v>
      </c>
      <c r="H485" s="74" t="s">
        <v>1117</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879</v>
      </c>
      <c r="E487" s="320">
        <v>42395</v>
      </c>
      <c r="F487" s="67" t="s">
        <v>1391</v>
      </c>
      <c r="G487" s="67" t="s">
        <v>1392</v>
      </c>
      <c r="H487" s="74" t="s">
        <v>1393</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880</v>
      </c>
      <c r="E488" s="320">
        <v>42397</v>
      </c>
      <c r="F488" s="67" t="s">
        <v>1400</v>
      </c>
      <c r="G488" s="995" t="s">
        <v>1402</v>
      </c>
      <c r="H488" s="74" t="s">
        <v>1403</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880</v>
      </c>
      <c r="E489" s="320">
        <v>42397</v>
      </c>
      <c r="F489" s="67" t="s">
        <v>1401</v>
      </c>
      <c r="G489" s="995" t="s">
        <v>1402</v>
      </c>
      <c r="H489" s="74" t="s">
        <v>1403</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881</v>
      </c>
      <c r="E490" s="320">
        <v>42372</v>
      </c>
      <c r="F490" s="67" t="s">
        <v>1163</v>
      </c>
      <c r="G490" s="995" t="s">
        <v>1165</v>
      </c>
      <c r="H490" s="74" t="s">
        <v>1166</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881</v>
      </c>
      <c r="E491" s="320">
        <v>42372</v>
      </c>
      <c r="F491" s="67" t="s">
        <v>1164</v>
      </c>
      <c r="G491" s="995" t="s">
        <v>1165</v>
      </c>
      <c r="H491" s="74" t="s">
        <v>1166</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882</v>
      </c>
      <c r="E492" s="320">
        <v>42416</v>
      </c>
      <c r="F492" s="67" t="s">
        <v>778</v>
      </c>
      <c r="G492" s="995" t="s">
        <v>1389</v>
      </c>
      <c r="H492" s="74" t="s">
        <v>816</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882</v>
      </c>
      <c r="E493" s="320">
        <v>42416</v>
      </c>
      <c r="F493" s="67" t="s">
        <v>779</v>
      </c>
      <c r="G493" s="995" t="s">
        <v>1389</v>
      </c>
      <c r="H493" s="74" t="s">
        <v>816</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883</v>
      </c>
      <c r="E494" s="320">
        <v>42430</v>
      </c>
      <c r="F494" s="321" t="s">
        <v>1118</v>
      </c>
      <c r="G494" s="321" t="s">
        <v>929</v>
      </c>
      <c r="H494" s="322" t="s">
        <v>772</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885</v>
      </c>
      <c r="E495" s="320">
        <v>42430</v>
      </c>
      <c r="F495" s="321" t="s">
        <v>780</v>
      </c>
      <c r="G495" s="999" t="s">
        <v>1119</v>
      </c>
      <c r="H495" s="322" t="s">
        <v>1120</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885</v>
      </c>
      <c r="E496" s="320">
        <v>42430</v>
      </c>
      <c r="F496" s="321" t="s">
        <v>781</v>
      </c>
      <c r="G496" s="999" t="s">
        <v>1119</v>
      </c>
      <c r="H496" s="322" t="s">
        <v>1120</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886</v>
      </c>
      <c r="E497" s="320">
        <v>42430</v>
      </c>
      <c r="F497" s="321" t="s">
        <v>1121</v>
      </c>
      <c r="G497" s="999" t="s">
        <v>1122</v>
      </c>
      <c r="H497" s="322" t="s">
        <v>1124</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886</v>
      </c>
      <c r="E498" s="320">
        <v>42430</v>
      </c>
      <c r="F498" s="321" t="s">
        <v>1123</v>
      </c>
      <c r="G498" s="999" t="s">
        <v>1122</v>
      </c>
      <c r="H498" s="322" t="s">
        <v>1124</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708</v>
      </c>
      <c r="E499" s="64">
        <v>42430</v>
      </c>
      <c r="F499" s="67" t="s">
        <v>1220</v>
      </c>
      <c r="G499" s="67" t="s">
        <v>929</v>
      </c>
      <c r="H499" s="7" t="s">
        <v>635</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708</v>
      </c>
      <c r="E500" s="64">
        <v>42430</v>
      </c>
      <c r="F500" s="67" t="s">
        <v>1214</v>
      </c>
      <c r="G500" s="67" t="s">
        <v>929</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708</v>
      </c>
      <c r="E501" s="64">
        <v>42430</v>
      </c>
      <c r="F501" s="67" t="s">
        <v>1215</v>
      </c>
      <c r="G501" s="67" t="s">
        <v>929</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887</v>
      </c>
      <c r="E502" s="320">
        <v>42373</v>
      </c>
      <c r="F502" s="321" t="s">
        <v>1163</v>
      </c>
      <c r="G502" s="999" t="s">
        <v>1167</v>
      </c>
      <c r="H502" s="74" t="s">
        <v>1166</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887</v>
      </c>
      <c r="E503" s="320">
        <v>42373</v>
      </c>
      <c r="F503" s="67" t="s">
        <v>1164</v>
      </c>
      <c r="G503" s="999" t="s">
        <v>1167</v>
      </c>
      <c r="H503" s="74" t="s">
        <v>1166</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888</v>
      </c>
      <c r="E504" s="320">
        <v>42375</v>
      </c>
      <c r="F504" s="67" t="s">
        <v>1168</v>
      </c>
      <c r="G504" s="999" t="s">
        <v>1170</v>
      </c>
      <c r="H504" s="74" t="s">
        <v>1171</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888</v>
      </c>
      <c r="E505" s="320">
        <v>42375</v>
      </c>
      <c r="F505" s="67" t="s">
        <v>1169</v>
      </c>
      <c r="G505" s="999" t="s">
        <v>1170</v>
      </c>
      <c r="H505" s="74" t="s">
        <v>1171</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889</v>
      </c>
      <c r="E506" s="320">
        <v>42375</v>
      </c>
      <c r="F506" s="67" t="s">
        <v>1172</v>
      </c>
      <c r="G506" s="999" t="s">
        <v>1174</v>
      </c>
      <c r="H506" s="74" t="s">
        <v>1175</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889</v>
      </c>
      <c r="E507" s="320">
        <v>42375</v>
      </c>
      <c r="F507" s="67" t="s">
        <v>1173</v>
      </c>
      <c r="G507" s="999" t="s">
        <v>1174</v>
      </c>
      <c r="H507" s="74" t="s">
        <v>1175</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890</v>
      </c>
      <c r="E508" s="320">
        <v>42429</v>
      </c>
      <c r="F508" s="67" t="s">
        <v>1400</v>
      </c>
      <c r="G508" s="999" t="s">
        <v>1404</v>
      </c>
      <c r="H508" s="74" t="s">
        <v>1403</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890</v>
      </c>
      <c r="E509" s="320">
        <v>42429</v>
      </c>
      <c r="F509" s="67" t="s">
        <v>1401</v>
      </c>
      <c r="G509" s="999" t="s">
        <v>1404</v>
      </c>
      <c r="H509" s="74" t="s">
        <v>1403</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891</v>
      </c>
      <c r="E510" s="320">
        <v>42433</v>
      </c>
      <c r="F510" s="321" t="s">
        <v>800</v>
      </c>
      <c r="G510" s="999" t="s">
        <v>1126</v>
      </c>
      <c r="H510" s="322" t="s">
        <v>1120</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891</v>
      </c>
      <c r="E511" s="320">
        <v>42433</v>
      </c>
      <c r="F511" s="321" t="s">
        <v>1026</v>
      </c>
      <c r="G511" s="999" t="s">
        <v>1126</v>
      </c>
      <c r="H511" s="322" t="s">
        <v>1120</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892</v>
      </c>
      <c r="E512" s="320">
        <v>42377</v>
      </c>
      <c r="F512" s="321" t="s">
        <v>1163</v>
      </c>
      <c r="G512" s="999" t="s">
        <v>1176</v>
      </c>
      <c r="H512" s="74" t="s">
        <v>1166</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892</v>
      </c>
      <c r="E513" s="320">
        <v>42377</v>
      </c>
      <c r="F513" s="67" t="s">
        <v>1164</v>
      </c>
      <c r="G513" s="999" t="s">
        <v>1176</v>
      </c>
      <c r="H513" s="74" t="s">
        <v>1166</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893</v>
      </c>
      <c r="E514" s="320">
        <v>42434</v>
      </c>
      <c r="F514" s="321" t="s">
        <v>1161</v>
      </c>
      <c r="G514" s="999" t="s">
        <v>1162</v>
      </c>
      <c r="H514" s="322" t="s">
        <v>856</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893</v>
      </c>
      <c r="E515" s="320">
        <v>42434</v>
      </c>
      <c r="F515" s="321" t="s">
        <v>1194</v>
      </c>
      <c r="G515" s="999" t="s">
        <v>1162</v>
      </c>
      <c r="H515" s="322" t="s">
        <v>856</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894</v>
      </c>
      <c r="E516" s="320">
        <v>42435</v>
      </c>
      <c r="F516" s="321" t="s">
        <v>785</v>
      </c>
      <c r="G516" s="999" t="s">
        <v>1127</v>
      </c>
      <c r="H516" s="322" t="s">
        <v>1120</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894</v>
      </c>
      <c r="E517" s="320">
        <v>42435</v>
      </c>
      <c r="F517" s="321" t="s">
        <v>786</v>
      </c>
      <c r="G517" s="999" t="s">
        <v>1127</v>
      </c>
      <c r="H517" s="322" t="s">
        <v>1120</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895</v>
      </c>
      <c r="E518" s="64">
        <v>42436</v>
      </c>
      <c r="F518" s="321" t="s">
        <v>1118</v>
      </c>
      <c r="G518" s="321" t="s">
        <v>929</v>
      </c>
      <c r="H518" s="322" t="s">
        <v>1221</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705</v>
      </c>
      <c r="E519" s="320">
        <v>42436</v>
      </c>
      <c r="F519" s="321" t="s">
        <v>1198</v>
      </c>
      <c r="G519" s="321" t="s">
        <v>929</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705</v>
      </c>
      <c r="E520" s="320">
        <v>42436</v>
      </c>
      <c r="F520" s="67" t="s">
        <v>1200</v>
      </c>
      <c r="G520" s="321" t="s">
        <v>929</v>
      </c>
      <c r="H520" s="74" t="s">
        <v>1199</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708</v>
      </c>
      <c r="E521" s="320">
        <v>42436</v>
      </c>
      <c r="F521" s="321" t="s">
        <v>1202</v>
      </c>
      <c r="G521" s="321" t="s">
        <v>929</v>
      </c>
      <c r="H521" s="7" t="s">
        <v>730</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585</v>
      </c>
      <c r="E522" s="320">
        <v>42436</v>
      </c>
      <c r="F522" s="321" t="s">
        <v>1204</v>
      </c>
      <c r="G522" s="321" t="s">
        <v>929</v>
      </c>
      <c r="H522" s="7" t="s">
        <v>730</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708</v>
      </c>
      <c r="E523" s="320">
        <v>42436</v>
      </c>
      <c r="F523" s="67" t="s">
        <v>1203</v>
      </c>
      <c r="G523" s="321" t="s">
        <v>929</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708</v>
      </c>
      <c r="E524" s="64">
        <v>42436</v>
      </c>
      <c r="F524" s="67" t="s">
        <v>1211</v>
      </c>
      <c r="G524" s="67" t="s">
        <v>929</v>
      </c>
      <c r="H524" s="7" t="s">
        <v>730</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708</v>
      </c>
      <c r="E525" s="64">
        <v>42436</v>
      </c>
      <c r="F525" s="67" t="s">
        <v>1211</v>
      </c>
      <c r="G525" s="67" t="s">
        <v>929</v>
      </c>
      <c r="H525" s="7" t="s">
        <v>728</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708</v>
      </c>
      <c r="E526" s="64">
        <v>42436</v>
      </c>
      <c r="F526" s="67" t="s">
        <v>1211</v>
      </c>
      <c r="G526" s="67" t="s">
        <v>929</v>
      </c>
      <c r="H526" s="7" t="s">
        <v>720</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708</v>
      </c>
      <c r="E527" s="64">
        <v>42436</v>
      </c>
      <c r="F527" s="67" t="s">
        <v>1211</v>
      </c>
      <c r="G527" s="67" t="s">
        <v>929</v>
      </c>
      <c r="H527" s="7" t="s">
        <v>721</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708</v>
      </c>
      <c r="E528" s="64">
        <v>42436</v>
      </c>
      <c r="F528" s="67" t="s">
        <v>1211</v>
      </c>
      <c r="G528" s="67" t="s">
        <v>929</v>
      </c>
      <c r="H528" s="7" t="s">
        <v>729</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705</v>
      </c>
      <c r="E529" s="64">
        <v>42436</v>
      </c>
      <c r="F529" s="67" t="s">
        <v>1222</v>
      </c>
      <c r="G529" s="67" t="s">
        <v>929</v>
      </c>
      <c r="H529" s="7" t="s">
        <v>728</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708</v>
      </c>
      <c r="E530" s="64">
        <v>42436</v>
      </c>
      <c r="F530" s="67" t="s">
        <v>1211</v>
      </c>
      <c r="G530" s="67" t="s">
        <v>929</v>
      </c>
      <c r="H530" s="7" t="s">
        <v>728</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896</v>
      </c>
      <c r="E532" s="320">
        <v>42437</v>
      </c>
      <c r="F532" s="321" t="s">
        <v>1118</v>
      </c>
      <c r="G532" s="321" t="s">
        <v>929</v>
      </c>
      <c r="H532" s="322" t="s">
        <v>772</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897</v>
      </c>
      <c r="E533" s="320">
        <v>42437</v>
      </c>
      <c r="F533" s="321" t="s">
        <v>780</v>
      </c>
      <c r="G533" s="999" t="s">
        <v>1128</v>
      </c>
      <c r="H533" s="322" t="s">
        <v>1120</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897</v>
      </c>
      <c r="E534" s="320">
        <v>42437</v>
      </c>
      <c r="F534" s="321" t="s">
        <v>781</v>
      </c>
      <c r="G534" s="999" t="s">
        <v>1128</v>
      </c>
      <c r="H534" s="322" t="s">
        <v>1120</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898</v>
      </c>
      <c r="E535" s="64">
        <v>42437</v>
      </c>
      <c r="F535" s="321" t="s">
        <v>1118</v>
      </c>
      <c r="G535" s="321" t="s">
        <v>929</v>
      </c>
      <c r="H535" s="322" t="s">
        <v>1223</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705</v>
      </c>
      <c r="E536" s="320">
        <v>42437</v>
      </c>
      <c r="F536" s="321" t="s">
        <v>1198</v>
      </c>
      <c r="G536" s="321" t="s">
        <v>929</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705</v>
      </c>
      <c r="E537" s="320">
        <v>42437</v>
      </c>
      <c r="F537" s="67" t="s">
        <v>1200</v>
      </c>
      <c r="G537" s="321" t="s">
        <v>929</v>
      </c>
      <c r="H537" s="74" t="s">
        <v>1201</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708</v>
      </c>
      <c r="E538" s="320">
        <v>42437</v>
      </c>
      <c r="F538" s="321" t="s">
        <v>1202</v>
      </c>
      <c r="G538" s="321" t="s">
        <v>929</v>
      </c>
      <c r="H538" s="322" t="s">
        <v>731</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585</v>
      </c>
      <c r="E539" s="320">
        <v>42437</v>
      </c>
      <c r="F539" s="321" t="s">
        <v>1204</v>
      </c>
      <c r="G539" s="321" t="s">
        <v>929</v>
      </c>
      <c r="H539" s="322" t="s">
        <v>731</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708</v>
      </c>
      <c r="E540" s="320">
        <v>42437</v>
      </c>
      <c r="F540" s="321" t="s">
        <v>1202</v>
      </c>
      <c r="G540" s="321" t="s">
        <v>929</v>
      </c>
      <c r="H540" s="322" t="s">
        <v>732</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585</v>
      </c>
      <c r="E541" s="320">
        <v>42437</v>
      </c>
      <c r="F541" s="321" t="s">
        <v>1204</v>
      </c>
      <c r="G541" s="321" t="s">
        <v>929</v>
      </c>
      <c r="H541" s="322" t="s">
        <v>732</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708</v>
      </c>
      <c r="E542" s="320">
        <v>42437</v>
      </c>
      <c r="F542" s="67" t="s">
        <v>1203</v>
      </c>
      <c r="G542" s="321" t="s">
        <v>929</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708</v>
      </c>
      <c r="E543" s="64">
        <v>42437</v>
      </c>
      <c r="F543" s="67" t="s">
        <v>1211</v>
      </c>
      <c r="G543" s="67" t="s">
        <v>929</v>
      </c>
      <c r="H543" s="74" t="s">
        <v>731</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708</v>
      </c>
      <c r="E544" s="64">
        <v>42437</v>
      </c>
      <c r="F544" s="67" t="s">
        <v>1211</v>
      </c>
      <c r="G544" s="67" t="s">
        <v>929</v>
      </c>
      <c r="H544" s="74" t="s">
        <v>732</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913</v>
      </c>
      <c r="E545" s="64">
        <v>42437</v>
      </c>
      <c r="F545" s="321" t="s">
        <v>1157</v>
      </c>
      <c r="G545" s="67" t="s">
        <v>929</v>
      </c>
      <c r="H545" s="322" t="s">
        <v>772</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898</v>
      </c>
      <c r="E546" s="64">
        <v>42437</v>
      </c>
      <c r="F546" s="67" t="s">
        <v>789</v>
      </c>
      <c r="G546" s="995" t="s">
        <v>661</v>
      </c>
      <c r="H546" s="7" t="s">
        <v>678</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708</v>
      </c>
      <c r="E547" s="320">
        <v>42437</v>
      </c>
      <c r="F547" s="321" t="s">
        <v>1224</v>
      </c>
      <c r="G547" s="999" t="s">
        <v>929</v>
      </c>
      <c r="H547" s="322" t="s">
        <v>635</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899</v>
      </c>
      <c r="E548" s="320">
        <v>42438</v>
      </c>
      <c r="F548" s="321" t="s">
        <v>1129</v>
      </c>
      <c r="G548" s="999" t="s">
        <v>1130</v>
      </c>
      <c r="H548" s="322" t="s">
        <v>630</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900</v>
      </c>
      <c r="E549" s="320">
        <v>42439</v>
      </c>
      <c r="F549" s="321" t="s">
        <v>1190</v>
      </c>
      <c r="G549" s="999" t="s">
        <v>1138</v>
      </c>
      <c r="H549" s="322" t="s">
        <v>1139</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900</v>
      </c>
      <c r="E550" s="320">
        <v>42439</v>
      </c>
      <c r="F550" s="321" t="s">
        <v>1137</v>
      </c>
      <c r="G550" s="999" t="s">
        <v>1138</v>
      </c>
      <c r="H550" s="322" t="s">
        <v>1139</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901</v>
      </c>
      <c r="E551" s="320">
        <v>42439</v>
      </c>
      <c r="F551" s="321" t="s">
        <v>1140</v>
      </c>
      <c r="G551" s="999" t="s">
        <v>1141</v>
      </c>
      <c r="H551" s="322" t="s">
        <v>1142</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902</v>
      </c>
      <c r="E552" s="320">
        <v>42440</v>
      </c>
      <c r="F552" s="321" t="s">
        <v>780</v>
      </c>
      <c r="G552" s="999" t="s">
        <v>1131</v>
      </c>
      <c r="H552" s="322" t="s">
        <v>1120</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902</v>
      </c>
      <c r="E553" s="320">
        <v>42440</v>
      </c>
      <c r="F553" s="321" t="s">
        <v>781</v>
      </c>
      <c r="G553" s="999" t="s">
        <v>1131</v>
      </c>
      <c r="H553" s="322" t="s">
        <v>1120</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903</v>
      </c>
      <c r="E554" s="320">
        <v>42441</v>
      </c>
      <c r="F554" s="321" t="s">
        <v>1132</v>
      </c>
      <c r="G554" s="999" t="s">
        <v>1134</v>
      </c>
      <c r="H554" s="322" t="s">
        <v>1135</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903</v>
      </c>
      <c r="E555" s="320">
        <v>42441</v>
      </c>
      <c r="F555" s="321" t="s">
        <v>1133</v>
      </c>
      <c r="G555" s="999" t="s">
        <v>1134</v>
      </c>
      <c r="H555" s="322" t="s">
        <v>1135</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904</v>
      </c>
      <c r="E556" s="320">
        <v>42441</v>
      </c>
      <c r="F556" s="321" t="s">
        <v>785</v>
      </c>
      <c r="G556" s="999" t="s">
        <v>1136</v>
      </c>
      <c r="H556" s="322" t="s">
        <v>1120</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904</v>
      </c>
      <c r="E557" s="320">
        <v>42441</v>
      </c>
      <c r="F557" s="321" t="s">
        <v>786</v>
      </c>
      <c r="G557" s="999" t="s">
        <v>1136</v>
      </c>
      <c r="H557" s="322" t="s">
        <v>1120</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905</v>
      </c>
      <c r="E558" s="320">
        <v>42443</v>
      </c>
      <c r="F558" s="321" t="s">
        <v>1143</v>
      </c>
      <c r="G558" s="999" t="s">
        <v>1145</v>
      </c>
      <c r="H558" s="322" t="s">
        <v>1146</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905</v>
      </c>
      <c r="E559" s="64">
        <v>42443</v>
      </c>
      <c r="F559" s="67" t="s">
        <v>1144</v>
      </c>
      <c r="G559" s="999" t="s">
        <v>1145</v>
      </c>
      <c r="H559" s="74" t="s">
        <v>1146</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906</v>
      </c>
      <c r="E560" s="64">
        <v>42443</v>
      </c>
      <c r="F560" s="67" t="s">
        <v>1394</v>
      </c>
      <c r="G560" s="999" t="s">
        <v>1396</v>
      </c>
      <c r="H560" s="74" t="s">
        <v>1397</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906</v>
      </c>
      <c r="E561" s="64">
        <v>42443</v>
      </c>
      <c r="F561" s="67" t="s">
        <v>1395</v>
      </c>
      <c r="G561" s="999" t="s">
        <v>1396</v>
      </c>
      <c r="H561" s="74" t="s">
        <v>1397</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907</v>
      </c>
      <c r="E562" s="64">
        <v>42443</v>
      </c>
      <c r="F562" s="67" t="s">
        <v>778</v>
      </c>
      <c r="G562" s="999" t="s">
        <v>1398</v>
      </c>
      <c r="H562" s="74" t="s">
        <v>816</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907</v>
      </c>
      <c r="E563" s="64">
        <v>42443</v>
      </c>
      <c r="F563" s="67" t="s">
        <v>779</v>
      </c>
      <c r="G563" s="999" t="s">
        <v>1398</v>
      </c>
      <c r="H563" s="74" t="s">
        <v>816</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908</v>
      </c>
      <c r="E564" s="64">
        <v>42443</v>
      </c>
      <c r="F564" s="67" t="s">
        <v>774</v>
      </c>
      <c r="G564" s="999" t="s">
        <v>1399</v>
      </c>
      <c r="H564" s="74" t="s">
        <v>1046</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908</v>
      </c>
      <c r="E565" s="64">
        <v>42443</v>
      </c>
      <c r="F565" s="67" t="s">
        <v>775</v>
      </c>
      <c r="G565" s="999" t="s">
        <v>1399</v>
      </c>
      <c r="H565" s="74" t="s">
        <v>1046</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708</v>
      </c>
      <c r="E566" s="64">
        <v>42443</v>
      </c>
      <c r="F566" s="67" t="s">
        <v>1214</v>
      </c>
      <c r="G566" s="999" t="s">
        <v>928</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x</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708</v>
      </c>
      <c r="E567" s="320">
        <v>42443</v>
      </c>
      <c r="F567" s="321" t="s">
        <v>1215</v>
      </c>
      <c r="G567" s="321" t="s">
        <v>928</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x</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909</v>
      </c>
      <c r="E568" s="320">
        <v>42444</v>
      </c>
      <c r="F568" s="82" t="s">
        <v>974</v>
      </c>
      <c r="G568" s="82"/>
      <c r="H568" s="83" t="s">
        <v>973</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705</v>
      </c>
      <c r="E569" s="320">
        <v>42444</v>
      </c>
      <c r="F569" s="67" t="s">
        <v>1205</v>
      </c>
      <c r="G569" s="999" t="s">
        <v>928</v>
      </c>
      <c r="H569" s="322" t="s">
        <v>602</v>
      </c>
      <c r="I569" s="446"/>
      <c r="J569" s="446"/>
      <c r="K569" s="437">
        <v>100100</v>
      </c>
      <c r="L569" s="446">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708</v>
      </c>
      <c r="E570" s="320">
        <v>42444</v>
      </c>
      <c r="F570" s="67" t="s">
        <v>1203</v>
      </c>
      <c r="G570" s="999" t="s">
        <v>928</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x</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708</v>
      </c>
      <c r="E571" s="320">
        <v>42444</v>
      </c>
      <c r="F571" s="67" t="s">
        <v>1206</v>
      </c>
      <c r="G571" s="999" t="s">
        <v>928</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708</v>
      </c>
      <c r="E572" s="320">
        <v>42444</v>
      </c>
      <c r="F572" s="67" t="s">
        <v>1207</v>
      </c>
      <c r="G572" s="999" t="s">
        <v>928</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708</v>
      </c>
      <c r="E573" s="320">
        <v>42444</v>
      </c>
      <c r="F573" s="67" t="s">
        <v>617</v>
      </c>
      <c r="G573" s="999" t="s">
        <v>928</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708</v>
      </c>
      <c r="E574" s="320">
        <v>42444</v>
      </c>
      <c r="F574" s="67" t="s">
        <v>1208</v>
      </c>
      <c r="G574" s="999" t="s">
        <v>928</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708</v>
      </c>
      <c r="E575" s="320">
        <v>42444</v>
      </c>
      <c r="F575" s="321" t="s">
        <v>1209</v>
      </c>
      <c r="G575" s="999" t="s">
        <v>928</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708</v>
      </c>
      <c r="E576" s="64">
        <v>42444</v>
      </c>
      <c r="F576" s="67" t="s">
        <v>1210</v>
      </c>
      <c r="G576" s="999" t="s">
        <v>928</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708</v>
      </c>
      <c r="E577" s="64">
        <v>42444</v>
      </c>
      <c r="F577" s="67" t="s">
        <v>1216</v>
      </c>
      <c r="G577" s="999" t="s">
        <v>930</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x</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708</v>
      </c>
      <c r="E578" s="64">
        <v>42444</v>
      </c>
      <c r="F578" s="67" t="s">
        <v>1211</v>
      </c>
      <c r="G578" s="67" t="s">
        <v>928</v>
      </c>
      <c r="H578" s="7" t="s">
        <v>739</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x</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708</v>
      </c>
      <c r="E579" s="64">
        <v>42444</v>
      </c>
      <c r="F579" s="67" t="s">
        <v>1225</v>
      </c>
      <c r="G579" s="67" t="s">
        <v>929</v>
      </c>
      <c r="H579" s="74" t="s">
        <v>632</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708</v>
      </c>
      <c r="E580" s="64">
        <v>42444</v>
      </c>
      <c r="F580" s="67" t="s">
        <v>1214</v>
      </c>
      <c r="G580" s="67" t="s">
        <v>929</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708</v>
      </c>
      <c r="E581" s="64">
        <v>42444</v>
      </c>
      <c r="F581" s="67" t="s">
        <v>1215</v>
      </c>
      <c r="G581" s="67" t="s">
        <v>929</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708</v>
      </c>
      <c r="E582" s="64">
        <v>42444</v>
      </c>
      <c r="F582" s="67" t="s">
        <v>1225</v>
      </c>
      <c r="G582" s="67" t="s">
        <v>929</v>
      </c>
      <c r="H582" s="74" t="s">
        <v>632</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708</v>
      </c>
      <c r="E583" s="64">
        <v>42444</v>
      </c>
      <c r="F583" s="67" t="s">
        <v>1214</v>
      </c>
      <c r="G583" s="67" t="s">
        <v>929</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708</v>
      </c>
      <c r="E584" s="64">
        <v>42444</v>
      </c>
      <c r="F584" s="67" t="s">
        <v>1215</v>
      </c>
      <c r="G584" s="67" t="s">
        <v>929</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708</v>
      </c>
      <c r="E585" s="64">
        <v>42444</v>
      </c>
      <c r="F585" s="67" t="s">
        <v>1226</v>
      </c>
      <c r="G585" s="67" t="s">
        <v>929</v>
      </c>
      <c r="H585" s="74" t="s">
        <v>635</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708</v>
      </c>
      <c r="E586" s="64">
        <v>42444</v>
      </c>
      <c r="F586" s="67" t="s">
        <v>1214</v>
      </c>
      <c r="G586" s="67" t="s">
        <v>929</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708</v>
      </c>
      <c r="E587" s="64">
        <v>42444</v>
      </c>
      <c r="F587" s="67" t="s">
        <v>1215</v>
      </c>
      <c r="G587" s="67" t="s">
        <v>929</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708</v>
      </c>
      <c r="E588" s="64">
        <v>42444</v>
      </c>
      <c r="F588" s="67" t="s">
        <v>1227</v>
      </c>
      <c r="G588" s="67" t="s">
        <v>929</v>
      </c>
      <c r="H588" s="74" t="s">
        <v>679</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708</v>
      </c>
      <c r="E589" s="64">
        <v>42444</v>
      </c>
      <c r="F589" s="67" t="s">
        <v>1214</v>
      </c>
      <c r="G589" s="67" t="s">
        <v>929</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708</v>
      </c>
      <c r="E590" s="64">
        <v>42444</v>
      </c>
      <c r="F590" s="67" t="s">
        <v>1215</v>
      </c>
      <c r="G590" s="67" t="s">
        <v>929</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708</v>
      </c>
      <c r="E591" s="81">
        <v>42444</v>
      </c>
      <c r="F591" s="82" t="s">
        <v>1228</v>
      </c>
      <c r="G591" s="82" t="s">
        <v>929</v>
      </c>
      <c r="H591" s="975"/>
      <c r="I591" s="444"/>
      <c r="J591" s="444"/>
      <c r="K591" s="435"/>
      <c r="L591" s="444"/>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708</v>
      </c>
      <c r="E592" s="81">
        <v>42444</v>
      </c>
      <c r="F592" s="82" t="s">
        <v>1229</v>
      </c>
      <c r="G592" s="82" t="s">
        <v>929</v>
      </c>
      <c r="H592" s="975"/>
      <c r="I592" s="444"/>
      <c r="J592" s="444"/>
      <c r="K592" s="435"/>
      <c r="L592" s="444"/>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708</v>
      </c>
      <c r="E593" s="81">
        <v>42444</v>
      </c>
      <c r="F593" s="82" t="s">
        <v>1230</v>
      </c>
      <c r="G593" s="82" t="s">
        <v>929</v>
      </c>
      <c r="H593" s="83"/>
      <c r="I593" s="444"/>
      <c r="J593" s="444"/>
      <c r="K593" s="435"/>
      <c r="L593" s="444"/>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708</v>
      </c>
      <c r="E594" s="64">
        <v>42444</v>
      </c>
      <c r="F594" s="67" t="s">
        <v>1214</v>
      </c>
      <c r="G594" s="67" t="s">
        <v>929</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708</v>
      </c>
      <c r="E595" s="64">
        <v>42444</v>
      </c>
      <c r="F595" s="67" t="s">
        <v>1215</v>
      </c>
      <c r="G595" s="67" t="s">
        <v>929</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708</v>
      </c>
      <c r="E596" s="64">
        <v>42444</v>
      </c>
      <c r="F596" s="67" t="s">
        <v>1227</v>
      </c>
      <c r="G596" s="67" t="s">
        <v>929</v>
      </c>
      <c r="H596" s="74" t="s">
        <v>1441</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708</v>
      </c>
      <c r="E597" s="64">
        <v>42444</v>
      </c>
      <c r="F597" s="67" t="s">
        <v>1214</v>
      </c>
      <c r="G597" s="67" t="s">
        <v>929</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708</v>
      </c>
      <c r="E598" s="64">
        <v>42444</v>
      </c>
      <c r="F598" s="67" t="s">
        <v>1215</v>
      </c>
      <c r="G598" s="67" t="s">
        <v>929</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708</v>
      </c>
      <c r="E599" s="64">
        <v>42444</v>
      </c>
      <c r="F599" s="67" t="s">
        <v>1231</v>
      </c>
      <c r="G599" s="67" t="s">
        <v>929</v>
      </c>
      <c r="H599" s="74" t="s">
        <v>629</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708</v>
      </c>
      <c r="E600" s="64">
        <v>42444</v>
      </c>
      <c r="F600" s="67" t="s">
        <v>1214</v>
      </c>
      <c r="G600" s="67" t="s">
        <v>929</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708</v>
      </c>
      <c r="E601" s="64">
        <v>42444</v>
      </c>
      <c r="F601" s="67" t="s">
        <v>1215</v>
      </c>
      <c r="G601" s="67" t="s">
        <v>929</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708</v>
      </c>
      <c r="E602" s="64">
        <v>42444</v>
      </c>
      <c r="F602" s="67" t="s">
        <v>1438</v>
      </c>
      <c r="G602" s="67" t="s">
        <v>929</v>
      </c>
      <c r="H602" s="74" t="s">
        <v>634</v>
      </c>
      <c r="I602" s="446"/>
      <c r="J602" s="446"/>
      <c r="K602" s="437"/>
      <c r="L602" s="446"/>
      <c r="M602" s="65">
        <v>50000000</v>
      </c>
      <c r="N602" s="66" t="s">
        <v>8</v>
      </c>
      <c r="O602" s="66" t="s">
        <v>26</v>
      </c>
      <c r="P602" s="85" t="str">
        <f>IF(AND('331-CT'!$E$7=TH!H602,OR(N602="331",O602="331")),"x","")</f>
        <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708</v>
      </c>
      <c r="E603" s="64">
        <v>42444</v>
      </c>
      <c r="F603" s="67" t="s">
        <v>1214</v>
      </c>
      <c r="G603" s="67" t="s">
        <v>929</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708</v>
      </c>
      <c r="E604" s="320">
        <v>42444</v>
      </c>
      <c r="F604" s="67" t="s">
        <v>1215</v>
      </c>
      <c r="G604" s="995" t="s">
        <v>929</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916</v>
      </c>
      <c r="E605" s="320">
        <v>42444</v>
      </c>
      <c r="F605" s="321" t="s">
        <v>1157</v>
      </c>
      <c r="G605" s="999" t="s">
        <v>928</v>
      </c>
      <c r="H605" s="7" t="s">
        <v>772</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x</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910</v>
      </c>
      <c r="E606" s="320">
        <v>42446</v>
      </c>
      <c r="F606" s="321" t="s">
        <v>1193</v>
      </c>
      <c r="G606" s="999" t="s">
        <v>1152</v>
      </c>
      <c r="H606" s="322" t="s">
        <v>622</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911</v>
      </c>
      <c r="E607" s="320">
        <v>42446</v>
      </c>
      <c r="F607" s="321" t="s">
        <v>1153</v>
      </c>
      <c r="G607" s="999" t="s">
        <v>1155</v>
      </c>
      <c r="H607" s="322" t="s">
        <v>1156</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911</v>
      </c>
      <c r="E608" s="320">
        <v>42446</v>
      </c>
      <c r="F608" s="321" t="s">
        <v>1154</v>
      </c>
      <c r="G608" s="999" t="s">
        <v>1155</v>
      </c>
      <c r="H608" s="7" t="s">
        <v>1156</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912</v>
      </c>
      <c r="E609" s="64">
        <v>42446</v>
      </c>
      <c r="F609" s="67" t="s">
        <v>780</v>
      </c>
      <c r="G609" s="999" t="s">
        <v>1357</v>
      </c>
      <c r="H609" s="74" t="s">
        <v>818</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912</v>
      </c>
      <c r="E610" s="64">
        <v>42446</v>
      </c>
      <c r="F610" s="67" t="s">
        <v>781</v>
      </c>
      <c r="G610" s="999" t="s">
        <v>1357</v>
      </c>
      <c r="H610" s="74" t="s">
        <v>818</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708</v>
      </c>
      <c r="E611" s="64">
        <v>42446</v>
      </c>
      <c r="F611" s="67" t="s">
        <v>1211</v>
      </c>
      <c r="G611" s="999" t="s">
        <v>928</v>
      </c>
      <c r="H611" s="74" t="s">
        <v>737</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708</v>
      </c>
      <c r="E612" s="64">
        <v>42446</v>
      </c>
      <c r="F612" s="67" t="s">
        <v>1211</v>
      </c>
      <c r="G612" s="999" t="s">
        <v>928</v>
      </c>
      <c r="H612" s="74" t="s">
        <v>740</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x</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708</v>
      </c>
      <c r="E613" s="64">
        <v>42446</v>
      </c>
      <c r="F613" s="67" t="s">
        <v>1211</v>
      </c>
      <c r="G613" s="999" t="s">
        <v>928</v>
      </c>
      <c r="H613" s="324" t="s">
        <v>750</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x</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708</v>
      </c>
      <c r="E614" s="64">
        <v>42446</v>
      </c>
      <c r="F614" s="67" t="s">
        <v>1211</v>
      </c>
      <c r="G614" s="999" t="s">
        <v>928</v>
      </c>
      <c r="H614" s="324" t="s">
        <v>738</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x</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708</v>
      </c>
      <c r="E615" s="64">
        <v>42446</v>
      </c>
      <c r="F615" s="67" t="s">
        <v>1217</v>
      </c>
      <c r="G615" s="999" t="s">
        <v>928</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x</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708</v>
      </c>
      <c r="E616" s="64">
        <v>42446</v>
      </c>
      <c r="F616" s="67" t="s">
        <v>1219</v>
      </c>
      <c r="G616" s="67" t="s">
        <v>928</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x</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708</v>
      </c>
      <c r="E617" s="64">
        <v>42446</v>
      </c>
      <c r="F617" s="67" t="s">
        <v>1218</v>
      </c>
      <c r="G617" s="67" t="s">
        <v>928</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x</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708</v>
      </c>
      <c r="E618" s="64">
        <v>42446</v>
      </c>
      <c r="F618" s="67" t="s">
        <v>1219</v>
      </c>
      <c r="G618" s="67" t="s">
        <v>928</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x</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914</v>
      </c>
      <c r="E619" s="64">
        <v>42447</v>
      </c>
      <c r="F619" s="67" t="s">
        <v>1125</v>
      </c>
      <c r="G619" s="67" t="s">
        <v>1358</v>
      </c>
      <c r="H619" s="7" t="s">
        <v>818</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914</v>
      </c>
      <c r="E620" s="64">
        <v>42447</v>
      </c>
      <c r="F620" s="67" t="s">
        <v>1359</v>
      </c>
      <c r="G620" s="67" t="s">
        <v>1358</v>
      </c>
      <c r="H620" s="74" t="s">
        <v>818</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915</v>
      </c>
      <c r="E621" s="64">
        <v>42449</v>
      </c>
      <c r="F621" s="67" t="s">
        <v>1125</v>
      </c>
      <c r="G621" s="67" t="s">
        <v>1360</v>
      </c>
      <c r="H621" s="74" t="s">
        <v>818</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915</v>
      </c>
      <c r="E622" s="64">
        <v>42449</v>
      </c>
      <c r="F622" s="67" t="s">
        <v>1359</v>
      </c>
      <c r="G622" s="67" t="s">
        <v>1360</v>
      </c>
      <c r="H622" s="7" t="s">
        <v>818</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708</v>
      </c>
      <c r="E623" s="64">
        <v>42450</v>
      </c>
      <c r="F623" s="67" t="s">
        <v>1206</v>
      </c>
      <c r="G623" s="67" t="s">
        <v>929</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708</v>
      </c>
      <c r="E624" s="64">
        <v>42450</v>
      </c>
      <c r="F624" s="67" t="s">
        <v>1207</v>
      </c>
      <c r="G624" s="67" t="s">
        <v>929</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705</v>
      </c>
      <c r="E625" s="320">
        <v>42450</v>
      </c>
      <c r="F625" s="321" t="s">
        <v>1232</v>
      </c>
      <c r="G625" s="999" t="s">
        <v>929</v>
      </c>
      <c r="H625" s="322" t="s">
        <v>1233</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708</v>
      </c>
      <c r="E626" s="320">
        <v>42450</v>
      </c>
      <c r="F626" s="321" t="s">
        <v>1211</v>
      </c>
      <c r="G626" s="999" t="s">
        <v>929</v>
      </c>
      <c r="H626" s="322" t="s">
        <v>733</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708</v>
      </c>
      <c r="E627" s="64">
        <v>42450</v>
      </c>
      <c r="F627" s="67" t="s">
        <v>1211</v>
      </c>
      <c r="G627" s="67" t="s">
        <v>929</v>
      </c>
      <c r="H627" s="74" t="s">
        <v>734</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708</v>
      </c>
      <c r="E628" s="64">
        <v>42450</v>
      </c>
      <c r="F628" s="67" t="s">
        <v>1211</v>
      </c>
      <c r="G628" s="67" t="s">
        <v>929</v>
      </c>
      <c r="H628" s="74" t="s">
        <v>741</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708</v>
      </c>
      <c r="E629" s="64">
        <v>42450</v>
      </c>
      <c r="F629" s="67" t="s">
        <v>1211</v>
      </c>
      <c r="G629" s="67" t="s">
        <v>929</v>
      </c>
      <c r="H629" s="74" t="s">
        <v>735</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708</v>
      </c>
      <c r="E630" s="64">
        <v>42450</v>
      </c>
      <c r="F630" s="67" t="s">
        <v>1211</v>
      </c>
      <c r="G630" s="67" t="s">
        <v>929</v>
      </c>
      <c r="H630" s="74" t="s">
        <v>736</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708</v>
      </c>
      <c r="E631" s="64">
        <v>42450</v>
      </c>
      <c r="F631" s="67" t="s">
        <v>1211</v>
      </c>
      <c r="G631" s="67" t="s">
        <v>929</v>
      </c>
      <c r="H631" s="74" t="s">
        <v>744</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917</v>
      </c>
      <c r="E632" s="64">
        <v>42452</v>
      </c>
      <c r="F632" s="67" t="s">
        <v>618</v>
      </c>
      <c r="G632" s="67" t="s">
        <v>1334</v>
      </c>
      <c r="H632" s="74" t="s">
        <v>1335</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917</v>
      </c>
      <c r="E633" s="64">
        <v>42452</v>
      </c>
      <c r="F633" s="67" t="s">
        <v>1333</v>
      </c>
      <c r="G633" s="67" t="s">
        <v>1334</v>
      </c>
      <c r="H633" s="350" t="s">
        <v>1335</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918</v>
      </c>
      <c r="E634" s="64">
        <v>42452</v>
      </c>
      <c r="F634" s="67" t="s">
        <v>780</v>
      </c>
      <c r="G634" s="67" t="s">
        <v>1361</v>
      </c>
      <c r="H634" s="74" t="s">
        <v>818</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918</v>
      </c>
      <c r="E635" s="64">
        <v>42452</v>
      </c>
      <c r="F635" s="67" t="s">
        <v>781</v>
      </c>
      <c r="G635" s="67" t="s">
        <v>1361</v>
      </c>
      <c r="H635" s="74" t="s">
        <v>818</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708</v>
      </c>
      <c r="E636" s="95">
        <v>42452</v>
      </c>
      <c r="F636" s="96" t="s">
        <v>1234</v>
      </c>
      <c r="G636" s="1172" t="s">
        <v>929</v>
      </c>
      <c r="H636" s="97" t="s">
        <v>1235</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921</v>
      </c>
      <c r="E637" s="64">
        <v>42453</v>
      </c>
      <c r="F637" s="82" t="s">
        <v>974</v>
      </c>
      <c r="G637" s="82"/>
      <c r="H637" s="83" t="s">
        <v>973</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922</v>
      </c>
      <c r="E638" s="64">
        <v>42453</v>
      </c>
      <c r="F638" s="67" t="s">
        <v>1125</v>
      </c>
      <c r="G638" s="995" t="s">
        <v>1362</v>
      </c>
      <c r="H638" s="74" t="s">
        <v>818</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922</v>
      </c>
      <c r="E639" s="64">
        <v>42453</v>
      </c>
      <c r="F639" s="67" t="s">
        <v>1359</v>
      </c>
      <c r="G639" s="999" t="s">
        <v>1362</v>
      </c>
      <c r="H639" s="7" t="s">
        <v>818</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923</v>
      </c>
      <c r="E640" s="81">
        <v>42454</v>
      </c>
      <c r="F640" s="82" t="s">
        <v>780</v>
      </c>
      <c r="G640" s="1023" t="s">
        <v>1363</v>
      </c>
      <c r="H640" s="83" t="s">
        <v>818</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923</v>
      </c>
      <c r="E641" s="81">
        <v>42454</v>
      </c>
      <c r="F641" s="82" t="s">
        <v>781</v>
      </c>
      <c r="G641" s="1023" t="s">
        <v>1363</v>
      </c>
      <c r="H641" s="83" t="s">
        <v>818</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708</v>
      </c>
      <c r="E642" s="81">
        <v>42454</v>
      </c>
      <c r="F642" s="82" t="s">
        <v>1236</v>
      </c>
      <c r="G642" s="1023" t="s">
        <v>929</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708</v>
      </c>
      <c r="E643" s="81">
        <v>42454</v>
      </c>
      <c r="F643" s="82" t="s">
        <v>1219</v>
      </c>
      <c r="G643" s="1023" t="s">
        <v>929</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708</v>
      </c>
      <c r="E644" s="64">
        <v>42454</v>
      </c>
      <c r="F644" s="67" t="s">
        <v>1217</v>
      </c>
      <c r="G644" s="999" t="s">
        <v>929</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708</v>
      </c>
      <c r="E645" s="64">
        <v>42454</v>
      </c>
      <c r="F645" s="67" t="s">
        <v>1219</v>
      </c>
      <c r="G645" s="999" t="s">
        <v>929</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708</v>
      </c>
      <c r="E646" s="64">
        <v>42454</v>
      </c>
      <c r="F646" s="67" t="s">
        <v>1218</v>
      </c>
      <c r="G646" s="999" t="s">
        <v>929</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708</v>
      </c>
      <c r="E647" s="320">
        <v>42454</v>
      </c>
      <c r="F647" s="321" t="s">
        <v>1219</v>
      </c>
      <c r="G647" s="321" t="s">
        <v>929</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708</v>
      </c>
      <c r="E648" s="320">
        <v>42454</v>
      </c>
      <c r="F648" s="321" t="s">
        <v>1237</v>
      </c>
      <c r="G648" s="999" t="s">
        <v>929</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708</v>
      </c>
      <c r="E649" s="320">
        <v>42454</v>
      </c>
      <c r="F649" s="321" t="s">
        <v>1219</v>
      </c>
      <c r="G649" s="999" t="s">
        <v>929</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924</v>
      </c>
      <c r="E650" s="64">
        <v>42456</v>
      </c>
      <c r="F650" s="67" t="s">
        <v>780</v>
      </c>
      <c r="G650" s="67" t="s">
        <v>1364</v>
      </c>
      <c r="H650" s="7" t="s">
        <v>818</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924</v>
      </c>
      <c r="E651" s="64">
        <v>42456</v>
      </c>
      <c r="F651" s="67" t="s">
        <v>781</v>
      </c>
      <c r="G651" s="67" t="s">
        <v>1364</v>
      </c>
      <c r="H651" s="74" t="s">
        <v>818</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925</v>
      </c>
      <c r="E652" s="64">
        <v>42457</v>
      </c>
      <c r="F652" s="67" t="s">
        <v>1445</v>
      </c>
      <c r="G652" s="67" t="s">
        <v>1337</v>
      </c>
      <c r="H652" s="74" t="s">
        <v>849</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925</v>
      </c>
      <c r="E653" s="64">
        <v>42457</v>
      </c>
      <c r="F653" s="67" t="s">
        <v>1446</v>
      </c>
      <c r="G653" s="67" t="s">
        <v>1337</v>
      </c>
      <c r="H653" s="350" t="s">
        <v>849</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926</v>
      </c>
      <c r="E654" s="64">
        <v>42457</v>
      </c>
      <c r="F654" s="67" t="s">
        <v>789</v>
      </c>
      <c r="G654" s="67" t="s">
        <v>1365</v>
      </c>
      <c r="H654" s="74" t="s">
        <v>678</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975</v>
      </c>
      <c r="E655" s="64">
        <v>42458</v>
      </c>
      <c r="F655" s="67" t="s">
        <v>1125</v>
      </c>
      <c r="G655" s="67" t="s">
        <v>1366</v>
      </c>
      <c r="H655" s="74" t="s">
        <v>818</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975</v>
      </c>
      <c r="E656" s="64">
        <v>42458</v>
      </c>
      <c r="F656" s="67" t="s">
        <v>1359</v>
      </c>
      <c r="G656" s="67" t="s">
        <v>1366</v>
      </c>
      <c r="H656" s="74" t="s">
        <v>818</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705</v>
      </c>
      <c r="E657" s="64">
        <v>42458</v>
      </c>
      <c r="F657" s="67" t="s">
        <v>1212</v>
      </c>
      <c r="G657" s="67" t="s">
        <v>928</v>
      </c>
      <c r="H657" s="74" t="s">
        <v>602</v>
      </c>
      <c r="I657" s="446"/>
      <c r="J657" s="446"/>
      <c r="K657" s="437">
        <v>4930.13</v>
      </c>
      <c r="L657" s="446">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585</v>
      </c>
      <c r="E658" s="1184">
        <v>42458</v>
      </c>
      <c r="F658" s="1185" t="s">
        <v>1082</v>
      </c>
      <c r="G658" s="1185" t="s">
        <v>928</v>
      </c>
      <c r="H658" s="74" t="s">
        <v>602</v>
      </c>
      <c r="I658" s="1186"/>
      <c r="J658" s="1186"/>
      <c r="K658" s="1187">
        <v>158.06</v>
      </c>
      <c r="L658" s="1186">
        <v>22280</v>
      </c>
      <c r="M658" s="1188">
        <v>3521577</v>
      </c>
      <c r="N658" s="1189" t="s">
        <v>101</v>
      </c>
      <c r="O658" s="1189"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585</v>
      </c>
      <c r="E659" s="1184">
        <v>42458</v>
      </c>
      <c r="F659" s="1185" t="s">
        <v>1083</v>
      </c>
      <c r="G659" s="1190" t="s">
        <v>928</v>
      </c>
      <c r="H659" s="74" t="s">
        <v>602</v>
      </c>
      <c r="I659" s="1186"/>
      <c r="J659" s="1186"/>
      <c r="K659" s="1187">
        <v>15.81</v>
      </c>
      <c r="L659" s="1186">
        <v>22280</v>
      </c>
      <c r="M659" s="1188">
        <v>352247</v>
      </c>
      <c r="N659" s="1189" t="s">
        <v>9</v>
      </c>
      <c r="O659" s="1189"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585</v>
      </c>
      <c r="E660" s="1184">
        <v>42458</v>
      </c>
      <c r="F660" s="1185" t="s">
        <v>1085</v>
      </c>
      <c r="G660" s="1190" t="s">
        <v>928</v>
      </c>
      <c r="H660" s="74" t="s">
        <v>602</v>
      </c>
      <c r="I660" s="1186"/>
      <c r="J660" s="1186"/>
      <c r="K660" s="1187">
        <v>171</v>
      </c>
      <c r="L660" s="1186">
        <v>22280</v>
      </c>
      <c r="M660" s="1188">
        <v>3809880</v>
      </c>
      <c r="N660" s="1189" t="s">
        <v>101</v>
      </c>
      <c r="O660" s="1189" t="s">
        <v>591</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585</v>
      </c>
      <c r="E661" s="81">
        <v>42458</v>
      </c>
      <c r="F661" s="82" t="s">
        <v>1079</v>
      </c>
      <c r="G661" s="1190" t="s">
        <v>928</v>
      </c>
      <c r="H661" s="74" t="s">
        <v>602</v>
      </c>
      <c r="I661" s="444"/>
      <c r="J661" s="444"/>
      <c r="K661" s="435"/>
      <c r="L661" s="444"/>
      <c r="M661" s="84">
        <v>4135875</v>
      </c>
      <c r="N661" s="1147"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708</v>
      </c>
      <c r="E662" s="64">
        <v>42458</v>
      </c>
      <c r="F662" s="67" t="s">
        <v>1077</v>
      </c>
      <c r="G662" s="995" t="s">
        <v>928</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708</v>
      </c>
      <c r="E663" s="64">
        <v>42458</v>
      </c>
      <c r="F663" s="67" t="s">
        <v>619</v>
      </c>
      <c r="G663" s="995" t="s">
        <v>928</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708</v>
      </c>
      <c r="E664" s="64">
        <v>42458</v>
      </c>
      <c r="F664" s="67" t="s">
        <v>1213</v>
      </c>
      <c r="G664" s="995" t="s">
        <v>928</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585</v>
      </c>
      <c r="E665" s="988">
        <v>42458</v>
      </c>
      <c r="F665" s="1149" t="s">
        <v>1367</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976</v>
      </c>
      <c r="E666" s="64">
        <v>42459</v>
      </c>
      <c r="F666" s="67" t="s">
        <v>1118</v>
      </c>
      <c r="G666" s="995" t="s">
        <v>929</v>
      </c>
      <c r="H666" s="74" t="s">
        <v>772</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977</v>
      </c>
      <c r="E667" s="64">
        <v>42459</v>
      </c>
      <c r="F667" s="67" t="s">
        <v>1027</v>
      </c>
      <c r="G667" s="995" t="s">
        <v>1336</v>
      </c>
      <c r="H667" s="74" t="s">
        <v>1053</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977</v>
      </c>
      <c r="E668" s="64">
        <v>42459</v>
      </c>
      <c r="F668" s="67" t="s">
        <v>1028</v>
      </c>
      <c r="G668" s="995" t="s">
        <v>1336</v>
      </c>
      <c r="H668" s="74" t="s">
        <v>1053</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708</v>
      </c>
      <c r="E669" s="64">
        <v>42459</v>
      </c>
      <c r="F669" s="67" t="s">
        <v>1238</v>
      </c>
      <c r="G669" s="995" t="s">
        <v>929</v>
      </c>
      <c r="H669" s="74" t="s">
        <v>635</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708</v>
      </c>
      <c r="E670" s="64">
        <v>42459</v>
      </c>
      <c r="F670" s="67" t="s">
        <v>1214</v>
      </c>
      <c r="G670" s="995" t="s">
        <v>929</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708</v>
      </c>
      <c r="E671" s="64">
        <v>42459</v>
      </c>
      <c r="F671" s="67" t="s">
        <v>1215</v>
      </c>
      <c r="G671" s="995" t="s">
        <v>929</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978</v>
      </c>
      <c r="E672" s="64">
        <f>C672</f>
        <v>42459</v>
      </c>
      <c r="F672" s="67" t="s">
        <v>1371</v>
      </c>
      <c r="G672" s="995" t="s">
        <v>1369</v>
      </c>
      <c r="H672" s="7" t="s">
        <v>624</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979</v>
      </c>
      <c r="E673" s="64">
        <f>C673</f>
        <v>42460</v>
      </c>
      <c r="F673" s="67" t="s">
        <v>1376</v>
      </c>
      <c r="G673" s="995"/>
      <c r="H673" s="7" t="s">
        <v>1378</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979</v>
      </c>
      <c r="E674" s="64">
        <f>C674</f>
        <v>42460</v>
      </c>
      <c r="F674" s="67" t="s">
        <v>1377</v>
      </c>
      <c r="G674" s="995"/>
      <c r="H674" s="7" t="s">
        <v>1378</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1405</v>
      </c>
      <c r="E675" s="64">
        <f>C675</f>
        <v>42460</v>
      </c>
      <c r="F675" s="67" t="s">
        <v>1379</v>
      </c>
      <c r="G675" s="995" t="s">
        <v>1381</v>
      </c>
      <c r="H675" s="7" t="s">
        <v>1382</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1405</v>
      </c>
      <c r="E676" s="64">
        <f>C676</f>
        <v>42460</v>
      </c>
      <c r="F676" s="67" t="s">
        <v>1380</v>
      </c>
      <c r="G676" s="995" t="s">
        <v>1381</v>
      </c>
      <c r="H676" s="7" t="s">
        <v>1382</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1406</v>
      </c>
      <c r="E677" s="81">
        <v>42460</v>
      </c>
      <c r="F677" s="82" t="s">
        <v>1239</v>
      </c>
      <c r="G677" s="998"/>
      <c r="H677" s="83" t="s">
        <v>859</v>
      </c>
      <c r="I677" s="444"/>
      <c r="J677" s="444"/>
      <c r="K677" s="435"/>
      <c r="L677" s="444"/>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585</v>
      </c>
      <c r="E678" s="64">
        <v>42370</v>
      </c>
      <c r="F678" s="67" t="s">
        <v>638</v>
      </c>
      <c r="G678" s="67" t="s">
        <v>658</v>
      </c>
      <c r="H678" s="74" t="s">
        <v>634</v>
      </c>
      <c r="I678" s="446"/>
      <c r="J678" s="446"/>
      <c r="K678" s="437"/>
      <c r="L678" s="446"/>
      <c r="M678" s="65">
        <v>10134000</v>
      </c>
      <c r="N678" s="66" t="s">
        <v>594</v>
      </c>
      <c r="O678" s="66" t="s">
        <v>8</v>
      </c>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585</v>
      </c>
      <c r="E679" s="64">
        <v>42370</v>
      </c>
      <c r="F679" s="67" t="s">
        <v>639</v>
      </c>
      <c r="G679" s="67" t="s">
        <v>659</v>
      </c>
      <c r="H679" s="74" t="s">
        <v>634</v>
      </c>
      <c r="I679" s="446"/>
      <c r="J679" s="446"/>
      <c r="K679" s="437"/>
      <c r="L679" s="446"/>
      <c r="M679" s="65">
        <v>6823560</v>
      </c>
      <c r="N679" s="66" t="s">
        <v>594</v>
      </c>
      <c r="O679" s="66" t="s">
        <v>8</v>
      </c>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585</v>
      </c>
      <c r="E680" s="64">
        <v>42370</v>
      </c>
      <c r="F680" s="67" t="s">
        <v>640</v>
      </c>
      <c r="G680" s="67" t="s">
        <v>659</v>
      </c>
      <c r="H680" s="74" t="s">
        <v>634</v>
      </c>
      <c r="I680" s="446"/>
      <c r="J680" s="446"/>
      <c r="K680" s="437"/>
      <c r="L680" s="446"/>
      <c r="M680" s="65">
        <v>682356</v>
      </c>
      <c r="N680" s="66" t="s">
        <v>9</v>
      </c>
      <c r="O680" s="66" t="s">
        <v>8</v>
      </c>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585</v>
      </c>
      <c r="E681" s="64">
        <v>42369</v>
      </c>
      <c r="F681" s="67" t="s">
        <v>641</v>
      </c>
      <c r="G681" s="67" t="s">
        <v>660</v>
      </c>
      <c r="H681" s="74" t="s">
        <v>632</v>
      </c>
      <c r="I681" s="446"/>
      <c r="J681" s="446"/>
      <c r="K681" s="437"/>
      <c r="L681" s="446"/>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585</v>
      </c>
      <c r="E682" s="64">
        <v>42369</v>
      </c>
      <c r="F682" s="67" t="s">
        <v>641</v>
      </c>
      <c r="G682" s="67" t="s">
        <v>661</v>
      </c>
      <c r="H682" s="74" t="s">
        <v>632</v>
      </c>
      <c r="I682" s="446"/>
      <c r="J682" s="446"/>
      <c r="K682" s="437"/>
      <c r="L682" s="446"/>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585</v>
      </c>
      <c r="E683" s="64">
        <v>42380</v>
      </c>
      <c r="F683" s="67" t="s">
        <v>642</v>
      </c>
      <c r="G683" s="67" t="s">
        <v>662</v>
      </c>
      <c r="H683" s="74" t="s">
        <v>633</v>
      </c>
      <c r="I683" s="446"/>
      <c r="J683" s="446"/>
      <c r="K683" s="437"/>
      <c r="L683" s="446"/>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585</v>
      </c>
      <c r="E684" s="64">
        <v>42380</v>
      </c>
      <c r="F684" s="67" t="s">
        <v>643</v>
      </c>
      <c r="G684" s="67" t="s">
        <v>662</v>
      </c>
      <c r="H684" s="74" t="s">
        <v>633</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585</v>
      </c>
      <c r="E685" s="64">
        <v>42381</v>
      </c>
      <c r="F685" s="67" t="s">
        <v>642</v>
      </c>
      <c r="G685" s="67" t="s">
        <v>663</v>
      </c>
      <c r="H685" s="74" t="s">
        <v>633</v>
      </c>
      <c r="I685" s="446"/>
      <c r="J685" s="446"/>
      <c r="K685" s="437"/>
      <c r="L685" s="446"/>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585</v>
      </c>
      <c r="E686" s="64">
        <v>42381</v>
      </c>
      <c r="F686" s="67" t="s">
        <v>643</v>
      </c>
      <c r="G686" s="67" t="s">
        <v>663</v>
      </c>
      <c r="H686" s="74" t="s">
        <v>633</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585</v>
      </c>
      <c r="E687" s="64">
        <v>42394</v>
      </c>
      <c r="F687" s="67" t="s">
        <v>642</v>
      </c>
      <c r="G687" s="67" t="s">
        <v>664</v>
      </c>
      <c r="H687" s="74" t="s">
        <v>633</v>
      </c>
      <c r="I687" s="446"/>
      <c r="J687" s="446"/>
      <c r="K687" s="437"/>
      <c r="L687" s="446"/>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585</v>
      </c>
      <c r="E688" s="64">
        <v>42394</v>
      </c>
      <c r="F688" s="67" t="s">
        <v>643</v>
      </c>
      <c r="G688" s="67" t="s">
        <v>664</v>
      </c>
      <c r="H688" s="74" t="s">
        <v>633</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585</v>
      </c>
      <c r="E689" s="64">
        <v>42398</v>
      </c>
      <c r="F689" s="67" t="s">
        <v>638</v>
      </c>
      <c r="G689" s="67" t="s">
        <v>665</v>
      </c>
      <c r="H689" s="74" t="s">
        <v>634</v>
      </c>
      <c r="I689" s="446"/>
      <c r="J689" s="446"/>
      <c r="K689" s="437"/>
      <c r="L689" s="446"/>
      <c r="M689" s="65">
        <v>11135000</v>
      </c>
      <c r="N689" s="66" t="s">
        <v>594</v>
      </c>
      <c r="O689" s="66" t="s">
        <v>8</v>
      </c>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585</v>
      </c>
      <c r="E690" s="64">
        <v>42398</v>
      </c>
      <c r="F690" s="67" t="s">
        <v>644</v>
      </c>
      <c r="G690" s="67" t="s">
        <v>666</v>
      </c>
      <c r="H690" s="74" t="s">
        <v>634</v>
      </c>
      <c r="I690" s="446"/>
      <c r="J690" s="446"/>
      <c r="K690" s="437"/>
      <c r="L690" s="446"/>
      <c r="M690" s="65">
        <v>5077560</v>
      </c>
      <c r="N690" s="68" t="s">
        <v>594</v>
      </c>
      <c r="O690" s="66" t="s">
        <v>8</v>
      </c>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585</v>
      </c>
      <c r="E691" s="64">
        <v>42398</v>
      </c>
      <c r="F691" s="67" t="s">
        <v>645</v>
      </c>
      <c r="G691" s="67" t="s">
        <v>666</v>
      </c>
      <c r="H691" s="74" t="s">
        <v>634</v>
      </c>
      <c r="I691" s="446"/>
      <c r="J691" s="446"/>
      <c r="K691" s="437"/>
      <c r="L691" s="446"/>
      <c r="M691" s="65">
        <v>507756</v>
      </c>
      <c r="N691" s="66" t="s">
        <v>9</v>
      </c>
      <c r="O691" s="66" t="s">
        <v>8</v>
      </c>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585</v>
      </c>
      <c r="E692" s="64">
        <v>42398</v>
      </c>
      <c r="F692" s="67" t="s">
        <v>638</v>
      </c>
      <c r="G692" s="67" t="s">
        <v>667</v>
      </c>
      <c r="H692" s="74" t="s">
        <v>634</v>
      </c>
      <c r="I692" s="446"/>
      <c r="J692" s="446"/>
      <c r="K692" s="437"/>
      <c r="L692" s="446"/>
      <c r="M692" s="65">
        <v>23383500</v>
      </c>
      <c r="N692" s="66" t="s">
        <v>594</v>
      </c>
      <c r="O692" s="66" t="s">
        <v>8</v>
      </c>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585</v>
      </c>
      <c r="E693" s="64">
        <v>42398</v>
      </c>
      <c r="F693" s="67" t="s">
        <v>639</v>
      </c>
      <c r="G693" s="67" t="s">
        <v>668</v>
      </c>
      <c r="H693" s="74" t="s">
        <v>634</v>
      </c>
      <c r="I693" s="446"/>
      <c r="J693" s="446"/>
      <c r="K693" s="437"/>
      <c r="L693" s="446"/>
      <c r="M693" s="65">
        <v>6413760</v>
      </c>
      <c r="N693" s="68" t="s">
        <v>594</v>
      </c>
      <c r="O693" s="66" t="s">
        <v>8</v>
      </c>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585</v>
      </c>
      <c r="E694" s="64">
        <v>42398</v>
      </c>
      <c r="F694" s="67" t="s">
        <v>640</v>
      </c>
      <c r="G694" s="67" t="s">
        <v>668</v>
      </c>
      <c r="H694" s="74" t="s">
        <v>634</v>
      </c>
      <c r="I694" s="446"/>
      <c r="J694" s="446"/>
      <c r="K694" s="437"/>
      <c r="L694" s="446"/>
      <c r="M694" s="65">
        <v>641376</v>
      </c>
      <c r="N694" s="68" t="s">
        <v>9</v>
      </c>
      <c r="O694" s="66" t="s">
        <v>8</v>
      </c>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585</v>
      </c>
      <c r="E695" s="64">
        <v>42400</v>
      </c>
      <c r="F695" s="67" t="s">
        <v>642</v>
      </c>
      <c r="G695" s="67" t="s">
        <v>669</v>
      </c>
      <c r="H695" s="74" t="s">
        <v>633</v>
      </c>
      <c r="I695" s="446"/>
      <c r="J695" s="446"/>
      <c r="K695" s="437"/>
      <c r="L695" s="446"/>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585</v>
      </c>
      <c r="E696" s="64">
        <v>42400</v>
      </c>
      <c r="F696" s="67" t="s">
        <v>643</v>
      </c>
      <c r="G696" s="67" t="s">
        <v>669</v>
      </c>
      <c r="H696" s="74" t="s">
        <v>633</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585</v>
      </c>
      <c r="E697" s="64">
        <v>42375</v>
      </c>
      <c r="F697" s="67" t="s">
        <v>646</v>
      </c>
      <c r="G697" s="995" t="s">
        <v>670</v>
      </c>
      <c r="H697" s="74" t="s">
        <v>635</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585</v>
      </c>
      <c r="E698" s="64">
        <v>42375</v>
      </c>
      <c r="F698" s="67" t="s">
        <v>647</v>
      </c>
      <c r="G698" s="995" t="s">
        <v>670</v>
      </c>
      <c r="H698" s="74" t="s">
        <v>635</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585</v>
      </c>
      <c r="E699" s="64">
        <v>42385</v>
      </c>
      <c r="F699" s="67" t="s">
        <v>648</v>
      </c>
      <c r="G699" s="67" t="s">
        <v>671</v>
      </c>
      <c r="H699" s="74" t="s">
        <v>635</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585</v>
      </c>
      <c r="E700" s="64">
        <v>42385</v>
      </c>
      <c r="F700" s="67" t="s">
        <v>649</v>
      </c>
      <c r="G700" s="67" t="s">
        <v>671</v>
      </c>
      <c r="H700" s="74" t="s">
        <v>635</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585</v>
      </c>
      <c r="E701" s="64">
        <v>42395</v>
      </c>
      <c r="F701" s="67" t="s">
        <v>650</v>
      </c>
      <c r="G701" s="67" t="s">
        <v>672</v>
      </c>
      <c r="H701" s="74" t="s">
        <v>635</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585</v>
      </c>
      <c r="E702" s="64">
        <v>42395</v>
      </c>
      <c r="F702" s="67" t="s">
        <v>651</v>
      </c>
      <c r="G702" s="995" t="s">
        <v>672</v>
      </c>
      <c r="H702" s="74" t="s">
        <v>635</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585</v>
      </c>
      <c r="E703" s="320">
        <v>42407</v>
      </c>
      <c r="F703" s="321" t="s">
        <v>638</v>
      </c>
      <c r="G703" s="999" t="s">
        <v>1086</v>
      </c>
      <c r="H703" s="322" t="s">
        <v>634</v>
      </c>
      <c r="I703" s="446"/>
      <c r="J703" s="446"/>
      <c r="K703" s="437"/>
      <c r="L703" s="446"/>
      <c r="M703" s="65">
        <v>11175000</v>
      </c>
      <c r="N703" s="323" t="s">
        <v>594</v>
      </c>
      <c r="O703" s="323" t="s">
        <v>8</v>
      </c>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585</v>
      </c>
      <c r="E704" s="320">
        <v>42407</v>
      </c>
      <c r="F704" s="321" t="s">
        <v>1092</v>
      </c>
      <c r="G704" s="999" t="s">
        <v>1087</v>
      </c>
      <c r="H704" s="322" t="s">
        <v>634</v>
      </c>
      <c r="I704" s="446"/>
      <c r="J704" s="446"/>
      <c r="K704" s="437"/>
      <c r="L704" s="446"/>
      <c r="M704" s="65">
        <v>5319300</v>
      </c>
      <c r="N704" s="323" t="s">
        <v>594</v>
      </c>
      <c r="O704" s="323" t="s">
        <v>8</v>
      </c>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585</v>
      </c>
      <c r="E705" s="320">
        <v>42407</v>
      </c>
      <c r="F705" s="321" t="s">
        <v>1093</v>
      </c>
      <c r="G705" s="999" t="s">
        <v>1087</v>
      </c>
      <c r="H705" s="322" t="s">
        <v>634</v>
      </c>
      <c r="I705" s="446"/>
      <c r="J705" s="446"/>
      <c r="K705" s="437"/>
      <c r="L705" s="446"/>
      <c r="M705" s="65">
        <v>531930</v>
      </c>
      <c r="N705" s="323" t="s">
        <v>9</v>
      </c>
      <c r="O705" s="323" t="s">
        <v>8</v>
      </c>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585</v>
      </c>
      <c r="E706" s="320">
        <v>42429</v>
      </c>
      <c r="F706" s="321" t="s">
        <v>642</v>
      </c>
      <c r="G706" s="999" t="s">
        <v>1088</v>
      </c>
      <c r="H706" s="322" t="s">
        <v>633</v>
      </c>
      <c r="I706" s="446"/>
      <c r="J706" s="446"/>
      <c r="K706" s="437"/>
      <c r="L706" s="446"/>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585</v>
      </c>
      <c r="E707" s="320">
        <v>42429</v>
      </c>
      <c r="F707" s="321" t="s">
        <v>643</v>
      </c>
      <c r="G707" s="999" t="s">
        <v>1088</v>
      </c>
      <c r="H707" s="322" t="s">
        <v>633</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585</v>
      </c>
      <c r="E708" s="320">
        <v>42406</v>
      </c>
      <c r="F708" s="321" t="s">
        <v>1094</v>
      </c>
      <c r="G708" s="999" t="s">
        <v>1089</v>
      </c>
      <c r="H708" s="322" t="s">
        <v>635</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585</v>
      </c>
      <c r="E709" s="320">
        <v>42406</v>
      </c>
      <c r="F709" s="321" t="s">
        <v>1095</v>
      </c>
      <c r="G709" s="999" t="s">
        <v>1089</v>
      </c>
      <c r="H709" s="322" t="s">
        <v>635</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585</v>
      </c>
      <c r="E710" s="320">
        <v>42426</v>
      </c>
      <c r="F710" s="321" t="s">
        <v>1098</v>
      </c>
      <c r="G710" s="999" t="s">
        <v>1116</v>
      </c>
      <c r="H710" s="322" t="s">
        <v>635</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585</v>
      </c>
      <c r="E711" s="320">
        <v>42426</v>
      </c>
      <c r="F711" s="321" t="s">
        <v>1099</v>
      </c>
      <c r="G711" s="999" t="s">
        <v>1116</v>
      </c>
      <c r="H711" s="322" t="s">
        <v>635</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585</v>
      </c>
      <c r="E712" s="320">
        <v>42384</v>
      </c>
      <c r="F712" s="321" t="s">
        <v>1100</v>
      </c>
      <c r="G712" s="321" t="s">
        <v>1091</v>
      </c>
      <c r="H712" s="322" t="s">
        <v>636</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585</v>
      </c>
      <c r="E713" s="320">
        <v>42384</v>
      </c>
      <c r="F713" s="321" t="s">
        <v>1101</v>
      </c>
      <c r="G713" s="321" t="s">
        <v>1091</v>
      </c>
      <c r="H713" s="322" t="s">
        <v>636</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585</v>
      </c>
      <c r="E714" s="320">
        <v>42426</v>
      </c>
      <c r="F714" s="321" t="s">
        <v>1158</v>
      </c>
      <c r="G714" s="999" t="s">
        <v>1160</v>
      </c>
      <c r="H714" s="322" t="s">
        <v>635</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585</v>
      </c>
      <c r="E715" s="320">
        <v>42426</v>
      </c>
      <c r="F715" s="321" t="s">
        <v>1159</v>
      </c>
      <c r="G715" s="999" t="s">
        <v>1160</v>
      </c>
      <c r="H715" s="322" t="s">
        <v>635</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585</v>
      </c>
      <c r="E716" s="320">
        <v>42436</v>
      </c>
      <c r="F716" s="321" t="s">
        <v>1177</v>
      </c>
      <c r="G716" s="999" t="s">
        <v>1407</v>
      </c>
      <c r="H716" s="322" t="s">
        <v>635</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585</v>
      </c>
      <c r="E717" s="320">
        <v>42436</v>
      </c>
      <c r="F717" s="321" t="s">
        <v>1178</v>
      </c>
      <c r="G717" s="999" t="s">
        <v>1407</v>
      </c>
      <c r="H717" s="322" t="s">
        <v>635</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585</v>
      </c>
      <c r="E718" s="320">
        <v>42445</v>
      </c>
      <c r="F718" s="321" t="s">
        <v>1179</v>
      </c>
      <c r="G718" s="999" t="s">
        <v>1409</v>
      </c>
      <c r="H718" s="322" t="s">
        <v>635</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585</v>
      </c>
      <c r="E719" s="320">
        <v>42445</v>
      </c>
      <c r="F719" s="321" t="s">
        <v>1180</v>
      </c>
      <c r="G719" s="999" t="s">
        <v>1409</v>
      </c>
      <c r="H719" s="322" t="s">
        <v>635</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585</v>
      </c>
      <c r="E720" s="320">
        <v>42455</v>
      </c>
      <c r="F720" s="321" t="s">
        <v>1181</v>
      </c>
      <c r="G720" s="999" t="s">
        <v>1408</v>
      </c>
      <c r="H720" s="322" t="s">
        <v>635</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585</v>
      </c>
      <c r="E721" s="320">
        <v>42455</v>
      </c>
      <c r="F721" s="321" t="s">
        <v>1182</v>
      </c>
      <c r="G721" s="999" t="s">
        <v>1408</v>
      </c>
      <c r="H721" s="322" t="s">
        <v>635</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585</v>
      </c>
      <c r="E722" s="64">
        <v>42447</v>
      </c>
      <c r="F722" s="67" t="s">
        <v>1183</v>
      </c>
      <c r="G722" s="995" t="s">
        <v>1185</v>
      </c>
      <c r="H722" s="74" t="s">
        <v>1186</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585</v>
      </c>
      <c r="E723" s="64">
        <v>42447</v>
      </c>
      <c r="F723" s="67" t="s">
        <v>1184</v>
      </c>
      <c r="G723" s="995" t="s">
        <v>1185</v>
      </c>
      <c r="H723" s="74" t="s">
        <v>1186</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585</v>
      </c>
      <c r="E724" s="64">
        <v>42454</v>
      </c>
      <c r="F724" s="67" t="s">
        <v>1447</v>
      </c>
      <c r="G724" s="995"/>
      <c r="H724" s="74" t="s">
        <v>1448</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585</v>
      </c>
      <c r="E725" s="64">
        <v>42369</v>
      </c>
      <c r="F725" s="67" t="s">
        <v>641</v>
      </c>
      <c r="G725" s="995" t="s">
        <v>1188</v>
      </c>
      <c r="H725" s="76" t="s">
        <v>632</v>
      </c>
      <c r="I725" s="446"/>
      <c r="J725" s="446"/>
      <c r="K725" s="437"/>
      <c r="L725" s="446"/>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585</v>
      </c>
      <c r="E726" s="64">
        <v>42369</v>
      </c>
      <c r="F726" s="67" t="s">
        <v>1187</v>
      </c>
      <c r="G726" s="995" t="s">
        <v>1189</v>
      </c>
      <c r="H726" s="76" t="s">
        <v>632</v>
      </c>
      <c r="I726" s="446"/>
      <c r="J726" s="446"/>
      <c r="K726" s="437"/>
      <c r="L726" s="446"/>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585</v>
      </c>
      <c r="E727" s="320">
        <v>42445</v>
      </c>
      <c r="F727" s="67" t="s">
        <v>778</v>
      </c>
      <c r="G727" s="995" t="s">
        <v>1151</v>
      </c>
      <c r="H727" s="322" t="s">
        <v>1150</v>
      </c>
      <c r="I727" s="446"/>
      <c r="J727" s="446"/>
      <c r="K727" s="437"/>
      <c r="L727" s="446"/>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585</v>
      </c>
      <c r="E728" s="320">
        <v>42445</v>
      </c>
      <c r="F728" s="321" t="s">
        <v>1147</v>
      </c>
      <c r="G728" s="999" t="s">
        <v>1149</v>
      </c>
      <c r="H728" s="322" t="s">
        <v>1150</v>
      </c>
      <c r="I728" s="446"/>
      <c r="J728" s="446"/>
      <c r="K728" s="437"/>
      <c r="L728" s="446"/>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585</v>
      </c>
      <c r="E729" s="320">
        <v>42445</v>
      </c>
      <c r="F729" s="321" t="s">
        <v>1148</v>
      </c>
      <c r="G729" s="999" t="s">
        <v>1149</v>
      </c>
      <c r="H729" s="322" t="s">
        <v>1150</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585</v>
      </c>
      <c r="E730" s="1166">
        <f>C730</f>
        <v>42460</v>
      </c>
      <c r="F730" s="1167" t="s">
        <v>1374</v>
      </c>
      <c r="G730" s="1168"/>
      <c r="H730" s="1169" t="s">
        <v>1375</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972</v>
      </c>
      <c r="E732" s="81">
        <v>42400</v>
      </c>
      <c r="F732" s="82" t="s">
        <v>959</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972</v>
      </c>
      <c r="E733" s="81">
        <v>42400</v>
      </c>
      <c r="F733" s="82" t="s">
        <v>959</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972</v>
      </c>
      <c r="E734" s="81">
        <v>42400</v>
      </c>
      <c r="F734" s="82" t="s">
        <v>959</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972</v>
      </c>
      <c r="E735" s="81">
        <v>42400</v>
      </c>
      <c r="F735" s="82" t="s">
        <v>959</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972</v>
      </c>
      <c r="E736" s="81">
        <v>42400</v>
      </c>
      <c r="F736" s="82" t="s">
        <v>959</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972</v>
      </c>
      <c r="E737" s="81">
        <v>42400</v>
      </c>
      <c r="F737" s="82" t="s">
        <v>959</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972</v>
      </c>
      <c r="E738" s="81">
        <v>42400</v>
      </c>
      <c r="F738" s="82" t="s">
        <v>959</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972</v>
      </c>
      <c r="E739" s="81">
        <v>42400</v>
      </c>
      <c r="F739" s="82" t="s">
        <v>959</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1103</v>
      </c>
      <c r="E741" s="81">
        <v>42429</v>
      </c>
      <c r="F741" s="82" t="s">
        <v>959</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1103</v>
      </c>
      <c r="E742" s="81">
        <v>42429</v>
      </c>
      <c r="F742" s="82" t="s">
        <v>959</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1103</v>
      </c>
      <c r="E743" s="81">
        <v>42429</v>
      </c>
      <c r="F743" s="82" t="s">
        <v>959</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1103</v>
      </c>
      <c r="E744" s="81">
        <v>42429</v>
      </c>
      <c r="F744" s="82" t="s">
        <v>959</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1103</v>
      </c>
      <c r="E745" s="81">
        <v>42460</v>
      </c>
      <c r="F745" s="82" t="s">
        <v>959</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1103</v>
      </c>
      <c r="E746" s="81">
        <v>42460</v>
      </c>
      <c r="F746" s="82" t="s">
        <v>959</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1103</v>
      </c>
      <c r="E747" s="81">
        <v>42460</v>
      </c>
      <c r="F747" s="82" t="s">
        <v>959</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1103</v>
      </c>
      <c r="E748" s="81">
        <v>42460</v>
      </c>
      <c r="F748" s="82" t="s">
        <v>959</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1103</v>
      </c>
      <c r="E749" s="81">
        <v>42460</v>
      </c>
      <c r="F749" s="82" t="s">
        <v>959</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585</v>
      </c>
      <c r="E750" s="878">
        <f t="shared" ref="E750:E758" si="53">C750</f>
        <v>42489</v>
      </c>
      <c r="F750" s="879" t="s">
        <v>1330</v>
      </c>
      <c r="G750" s="879"/>
      <c r="H750" s="74"/>
      <c r="I750" s="446"/>
      <c r="J750" s="446"/>
      <c r="K750" s="437"/>
      <c r="L750" s="446"/>
      <c r="M750" s="880"/>
      <c r="N750" s="884" t="s">
        <v>283</v>
      </c>
      <c r="O750" s="885"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585</v>
      </c>
      <c r="E751" s="878">
        <f t="shared" si="53"/>
        <v>42489</v>
      </c>
      <c r="F751" s="879" t="s">
        <v>1331</v>
      </c>
      <c r="G751" s="994"/>
      <c r="H751" s="73"/>
      <c r="I751" s="447"/>
      <c r="J751" s="447"/>
      <c r="K751" s="438"/>
      <c r="L751" s="447"/>
      <c r="M751" s="880"/>
      <c r="N751" s="886" t="s">
        <v>101</v>
      </c>
      <c r="O751" s="886"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585</v>
      </c>
      <c r="E752" s="878">
        <f t="shared" si="53"/>
        <v>42489</v>
      </c>
      <c r="F752" s="879" t="s">
        <v>1331</v>
      </c>
      <c r="G752" s="879"/>
      <c r="H752" s="73"/>
      <c r="I752" s="447"/>
      <c r="J752" s="447"/>
      <c r="K752" s="438"/>
      <c r="L752" s="447"/>
      <c r="M752" s="880"/>
      <c r="N752" s="886" t="s">
        <v>283</v>
      </c>
      <c r="O752" s="886"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585</v>
      </c>
      <c r="E753" s="878">
        <f t="shared" si="53"/>
        <v>42521</v>
      </c>
      <c r="F753" s="879" t="s">
        <v>1330</v>
      </c>
      <c r="G753" s="879"/>
      <c r="H753" s="74"/>
      <c r="I753" s="446"/>
      <c r="J753" s="446"/>
      <c r="K753" s="437"/>
      <c r="L753" s="446"/>
      <c r="M753" s="880"/>
      <c r="N753" s="884" t="s">
        <v>283</v>
      </c>
      <c r="O753" s="885"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585</v>
      </c>
      <c r="E754" s="878">
        <f t="shared" si="53"/>
        <v>42521</v>
      </c>
      <c r="F754" s="879" t="s">
        <v>1331</v>
      </c>
      <c r="G754" s="994"/>
      <c r="H754" s="73"/>
      <c r="I754" s="447"/>
      <c r="J754" s="447"/>
      <c r="K754" s="438"/>
      <c r="L754" s="447"/>
      <c r="M754" s="880"/>
      <c r="N754" s="886" t="s">
        <v>101</v>
      </c>
      <c r="O754" s="886"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585</v>
      </c>
      <c r="E755" s="878">
        <f t="shared" si="53"/>
        <v>42521</v>
      </c>
      <c r="F755" s="879" t="s">
        <v>1331</v>
      </c>
      <c r="G755" s="879"/>
      <c r="H755" s="73"/>
      <c r="I755" s="447"/>
      <c r="J755" s="447"/>
      <c r="K755" s="438"/>
      <c r="L755" s="447"/>
      <c r="M755" s="880"/>
      <c r="N755" s="886" t="s">
        <v>283</v>
      </c>
      <c r="O755" s="886"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585</v>
      </c>
      <c r="E756" s="878">
        <f t="shared" si="53"/>
        <v>42551</v>
      </c>
      <c r="F756" s="879" t="s">
        <v>1330</v>
      </c>
      <c r="G756" s="879"/>
      <c r="H756" s="74"/>
      <c r="I756" s="446"/>
      <c r="J756" s="446"/>
      <c r="K756" s="437"/>
      <c r="L756" s="446"/>
      <c r="M756" s="880"/>
      <c r="N756" s="884" t="s">
        <v>283</v>
      </c>
      <c r="O756" s="885"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585</v>
      </c>
      <c r="E757" s="878">
        <f t="shared" si="53"/>
        <v>42551</v>
      </c>
      <c r="F757" s="879" t="s">
        <v>1331</v>
      </c>
      <c r="G757" s="994"/>
      <c r="H757" s="73"/>
      <c r="I757" s="447"/>
      <c r="J757" s="447"/>
      <c r="K757" s="438"/>
      <c r="L757" s="447"/>
      <c r="M757" s="880"/>
      <c r="N757" s="886" t="s">
        <v>101</v>
      </c>
      <c r="O757" s="886"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585</v>
      </c>
      <c r="E758" s="878">
        <f t="shared" si="53"/>
        <v>42551</v>
      </c>
      <c r="F758" s="879" t="s">
        <v>1331</v>
      </c>
      <c r="G758" s="879"/>
      <c r="H758" s="73"/>
      <c r="I758" s="447"/>
      <c r="J758" s="447"/>
      <c r="K758" s="438"/>
      <c r="L758" s="447"/>
      <c r="M758" s="880"/>
      <c r="N758" s="886" t="s">
        <v>283</v>
      </c>
      <c r="O758" s="886"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585</v>
      </c>
      <c r="E759" s="881">
        <f>C759</f>
        <v>42489</v>
      </c>
      <c r="F759" s="882" t="s">
        <v>1343</v>
      </c>
      <c r="G759" s="278"/>
      <c r="H759" s="322"/>
      <c r="I759" s="446"/>
      <c r="J759" s="446"/>
      <c r="K759" s="437"/>
      <c r="L759" s="446"/>
      <c r="M759" s="887"/>
      <c r="N759" s="888" t="s">
        <v>594</v>
      </c>
      <c r="O759" s="888"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585</v>
      </c>
      <c r="E760" s="881">
        <f t="shared" ref="E760:E772" si="54">C760</f>
        <v>42489</v>
      </c>
      <c r="F760" s="882" t="s">
        <v>1344</v>
      </c>
      <c r="G760" s="278"/>
      <c r="H760" s="322"/>
      <c r="I760" s="446"/>
      <c r="J760" s="446"/>
      <c r="K760" s="437"/>
      <c r="L760" s="446"/>
      <c r="M760" s="887"/>
      <c r="N760" s="888" t="s">
        <v>283</v>
      </c>
      <c r="O760" s="888"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585</v>
      </c>
      <c r="E761" s="881">
        <f t="shared" si="54"/>
        <v>42489</v>
      </c>
      <c r="F761" s="882" t="s">
        <v>1345</v>
      </c>
      <c r="G761" s="989" t="s">
        <v>586</v>
      </c>
      <c r="H761" s="322"/>
      <c r="I761" s="446"/>
      <c r="J761" s="446"/>
      <c r="K761" s="437"/>
      <c r="L761" s="446"/>
      <c r="M761" s="887">
        <f>G759*$G761</f>
        <v>0</v>
      </c>
      <c r="N761" s="888" t="s">
        <v>595</v>
      </c>
      <c r="O761" s="888"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585</v>
      </c>
      <c r="E762" s="881">
        <f t="shared" si="54"/>
        <v>42489</v>
      </c>
      <c r="F762" s="882" t="s">
        <v>1346</v>
      </c>
      <c r="G762" s="278"/>
      <c r="H762" s="322"/>
      <c r="I762" s="446"/>
      <c r="J762" s="446"/>
      <c r="K762" s="437"/>
      <c r="L762" s="446"/>
      <c r="M762" s="887">
        <f>G760*$G761</f>
        <v>0</v>
      </c>
      <c r="N762" s="889" t="s">
        <v>595</v>
      </c>
      <c r="O762" s="890"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585</v>
      </c>
      <c r="E763" s="881">
        <f t="shared" si="54"/>
        <v>42489</v>
      </c>
      <c r="F763" s="882" t="s">
        <v>1347</v>
      </c>
      <c r="G763" s="989" t="s">
        <v>587</v>
      </c>
      <c r="H763" s="322"/>
      <c r="I763" s="446"/>
      <c r="J763" s="446"/>
      <c r="K763" s="437"/>
      <c r="L763" s="446"/>
      <c r="M763" s="887">
        <f>G759*$G763</f>
        <v>0</v>
      </c>
      <c r="N763" s="888" t="s">
        <v>594</v>
      </c>
      <c r="O763" s="888"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585</v>
      </c>
      <c r="E764" s="881">
        <f t="shared" si="54"/>
        <v>42489</v>
      </c>
      <c r="F764" s="882" t="s">
        <v>1348</v>
      </c>
      <c r="G764" s="278"/>
      <c r="H764" s="322"/>
      <c r="I764" s="446"/>
      <c r="J764" s="446"/>
      <c r="K764" s="437"/>
      <c r="L764" s="446"/>
      <c r="M764" s="887">
        <f>G760*$G763</f>
        <v>0</v>
      </c>
      <c r="N764" s="888" t="s">
        <v>283</v>
      </c>
      <c r="O764" s="888"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585</v>
      </c>
      <c r="E765" s="881">
        <f t="shared" si="54"/>
        <v>42489</v>
      </c>
      <c r="F765" s="882" t="s">
        <v>1349</v>
      </c>
      <c r="G765" s="989" t="s">
        <v>588</v>
      </c>
      <c r="H765" s="324"/>
      <c r="I765" s="444"/>
      <c r="J765" s="444"/>
      <c r="K765" s="435"/>
      <c r="L765" s="444"/>
      <c r="M765" s="887">
        <f>G759*$G765</f>
        <v>0</v>
      </c>
      <c r="N765" s="888" t="s">
        <v>595</v>
      </c>
      <c r="O765" s="888"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585</v>
      </c>
      <c r="E766" s="881">
        <f t="shared" si="54"/>
        <v>42489</v>
      </c>
      <c r="F766" s="882" t="s">
        <v>1350</v>
      </c>
      <c r="G766" s="278"/>
      <c r="H766" s="324"/>
      <c r="I766" s="444"/>
      <c r="J766" s="444"/>
      <c r="K766" s="435"/>
      <c r="L766" s="444"/>
      <c r="M766" s="887">
        <f>G760*$G765</f>
        <v>0</v>
      </c>
      <c r="N766" s="888" t="s">
        <v>595</v>
      </c>
      <c r="O766" s="888"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585</v>
      </c>
      <c r="E767" s="881">
        <f t="shared" si="54"/>
        <v>42489</v>
      </c>
      <c r="F767" s="882" t="s">
        <v>1351</v>
      </c>
      <c r="G767" s="989" t="s">
        <v>589</v>
      </c>
      <c r="H767" s="322"/>
      <c r="I767" s="446"/>
      <c r="J767" s="446"/>
      <c r="K767" s="437"/>
      <c r="L767" s="446"/>
      <c r="M767" s="887">
        <f>G759*$G767</f>
        <v>0</v>
      </c>
      <c r="N767" s="888" t="s">
        <v>594</v>
      </c>
      <c r="O767" s="888"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585</v>
      </c>
      <c r="E768" s="881">
        <f t="shared" si="54"/>
        <v>42489</v>
      </c>
      <c r="F768" s="882" t="s">
        <v>1352</v>
      </c>
      <c r="G768" s="278"/>
      <c r="H768" s="322"/>
      <c r="I768" s="446"/>
      <c r="J768" s="446"/>
      <c r="K768" s="437"/>
      <c r="L768" s="446"/>
      <c r="M768" s="887">
        <f>G760*$G767</f>
        <v>0</v>
      </c>
      <c r="N768" s="888" t="s">
        <v>283</v>
      </c>
      <c r="O768" s="888"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585</v>
      </c>
      <c r="E769" s="881">
        <f t="shared" si="54"/>
        <v>42489</v>
      </c>
      <c r="F769" s="882" t="s">
        <v>1353</v>
      </c>
      <c r="G769" s="989" t="s">
        <v>590</v>
      </c>
      <c r="H769" s="322"/>
      <c r="I769" s="446"/>
      <c r="J769" s="446"/>
      <c r="K769" s="437"/>
      <c r="L769" s="446"/>
      <c r="M769" s="887">
        <f>G759*$G769</f>
        <v>0</v>
      </c>
      <c r="N769" s="888" t="s">
        <v>595</v>
      </c>
      <c r="O769" s="888"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585</v>
      </c>
      <c r="E770" s="881">
        <f t="shared" si="54"/>
        <v>42489</v>
      </c>
      <c r="F770" s="882" t="s">
        <v>1354</v>
      </c>
      <c r="G770" s="278"/>
      <c r="H770" s="322"/>
      <c r="I770" s="446"/>
      <c r="J770" s="446"/>
      <c r="K770" s="437"/>
      <c r="L770" s="446"/>
      <c r="M770" s="887">
        <f>G760*$G769</f>
        <v>0</v>
      </c>
      <c r="N770" s="888" t="s">
        <v>595</v>
      </c>
      <c r="O770" s="888"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585</v>
      </c>
      <c r="E771" s="881">
        <f t="shared" si="54"/>
        <v>42489</v>
      </c>
      <c r="F771" s="882" t="s">
        <v>1355</v>
      </c>
      <c r="G771" s="989" t="s">
        <v>590</v>
      </c>
      <c r="H771" s="1146"/>
      <c r="I771" s="447"/>
      <c r="J771" s="447"/>
      <c r="K771" s="438"/>
      <c r="L771" s="447"/>
      <c r="M771" s="887">
        <f>M769</f>
        <v>0</v>
      </c>
      <c r="N771" s="888" t="s">
        <v>594</v>
      </c>
      <c r="O771" s="888"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585</v>
      </c>
      <c r="E772" s="881">
        <f t="shared" si="54"/>
        <v>42489</v>
      </c>
      <c r="F772" s="882" t="s">
        <v>1356</v>
      </c>
      <c r="G772" s="278"/>
      <c r="H772" s="322"/>
      <c r="I772" s="446"/>
      <c r="J772" s="446"/>
      <c r="K772" s="437"/>
      <c r="L772" s="446"/>
      <c r="M772" s="887">
        <f>M770</f>
        <v>0</v>
      </c>
      <c r="N772" s="888" t="s">
        <v>283</v>
      </c>
      <c r="O772" s="888"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585</v>
      </c>
      <c r="E773" s="881">
        <f>C773</f>
        <v>42521</v>
      </c>
      <c r="F773" s="882" t="s">
        <v>1343</v>
      </c>
      <c r="G773" s="278"/>
      <c r="H773" s="322"/>
      <c r="I773" s="446"/>
      <c r="J773" s="446"/>
      <c r="K773" s="437"/>
      <c r="L773" s="446"/>
      <c r="M773" s="887"/>
      <c r="N773" s="888" t="s">
        <v>594</v>
      </c>
      <c r="O773" s="888"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585</v>
      </c>
      <c r="E774" s="881">
        <f t="shared" ref="E774:E793" si="56">C774</f>
        <v>42521</v>
      </c>
      <c r="F774" s="882" t="s">
        <v>1344</v>
      </c>
      <c r="G774" s="278"/>
      <c r="H774" s="322"/>
      <c r="I774" s="446"/>
      <c r="J774" s="446"/>
      <c r="K774" s="437"/>
      <c r="L774" s="446"/>
      <c r="M774" s="887"/>
      <c r="N774" s="888" t="s">
        <v>283</v>
      </c>
      <c r="O774" s="888"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585</v>
      </c>
      <c r="E775" s="881">
        <f t="shared" si="56"/>
        <v>42521</v>
      </c>
      <c r="F775" s="882" t="s">
        <v>1345</v>
      </c>
      <c r="G775" s="989" t="s">
        <v>586</v>
      </c>
      <c r="H775" s="322"/>
      <c r="I775" s="446"/>
      <c r="J775" s="446"/>
      <c r="K775" s="437"/>
      <c r="L775" s="446"/>
      <c r="M775" s="887">
        <f>G773*$G775</f>
        <v>0</v>
      </c>
      <c r="N775" s="888" t="s">
        <v>595</v>
      </c>
      <c r="O775" s="888"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585</v>
      </c>
      <c r="E776" s="881">
        <f t="shared" si="56"/>
        <v>42521</v>
      </c>
      <c r="F776" s="882" t="s">
        <v>1346</v>
      </c>
      <c r="G776" s="278"/>
      <c r="H776" s="322"/>
      <c r="I776" s="446"/>
      <c r="J776" s="446"/>
      <c r="K776" s="437"/>
      <c r="L776" s="446"/>
      <c r="M776" s="887">
        <f>G774*$G775</f>
        <v>0</v>
      </c>
      <c r="N776" s="889" t="s">
        <v>595</v>
      </c>
      <c r="O776" s="890"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585</v>
      </c>
      <c r="E777" s="881">
        <f t="shared" si="56"/>
        <v>42521</v>
      </c>
      <c r="F777" s="882" t="s">
        <v>1347</v>
      </c>
      <c r="G777" s="989" t="s">
        <v>587</v>
      </c>
      <c r="H777" s="322"/>
      <c r="I777" s="446"/>
      <c r="J777" s="446"/>
      <c r="K777" s="437"/>
      <c r="L777" s="446"/>
      <c r="M777" s="887">
        <f>G773*$G777</f>
        <v>0</v>
      </c>
      <c r="N777" s="888" t="s">
        <v>594</v>
      </c>
      <c r="O777" s="888"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585</v>
      </c>
      <c r="E778" s="881">
        <f t="shared" si="56"/>
        <v>42521</v>
      </c>
      <c r="F778" s="882" t="s">
        <v>1348</v>
      </c>
      <c r="G778" s="278"/>
      <c r="H778" s="322"/>
      <c r="I778" s="446"/>
      <c r="J778" s="446"/>
      <c r="K778" s="437"/>
      <c r="L778" s="446"/>
      <c r="M778" s="887">
        <f>G774*$G777</f>
        <v>0</v>
      </c>
      <c r="N778" s="888" t="s">
        <v>283</v>
      </c>
      <c r="O778" s="888"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585</v>
      </c>
      <c r="E779" s="881">
        <f t="shared" si="56"/>
        <v>42521</v>
      </c>
      <c r="F779" s="882" t="s">
        <v>1349</v>
      </c>
      <c r="G779" s="989" t="s">
        <v>588</v>
      </c>
      <c r="H779" s="324"/>
      <c r="I779" s="444"/>
      <c r="J779" s="444"/>
      <c r="K779" s="435"/>
      <c r="L779" s="444"/>
      <c r="M779" s="887">
        <f>G773*$G779</f>
        <v>0</v>
      </c>
      <c r="N779" s="888" t="s">
        <v>595</v>
      </c>
      <c r="O779" s="888"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585</v>
      </c>
      <c r="E780" s="881">
        <f t="shared" si="56"/>
        <v>42521</v>
      </c>
      <c r="F780" s="882" t="s">
        <v>1350</v>
      </c>
      <c r="G780" s="278"/>
      <c r="H780" s="324"/>
      <c r="I780" s="444"/>
      <c r="J780" s="444"/>
      <c r="K780" s="435"/>
      <c r="L780" s="444"/>
      <c r="M780" s="887">
        <f>G774*$G779</f>
        <v>0</v>
      </c>
      <c r="N780" s="888" t="s">
        <v>595</v>
      </c>
      <c r="O780" s="888"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585</v>
      </c>
      <c r="E781" s="881">
        <f t="shared" si="56"/>
        <v>42521</v>
      </c>
      <c r="F781" s="882" t="s">
        <v>1351</v>
      </c>
      <c r="G781" s="989" t="s">
        <v>589</v>
      </c>
      <c r="H781" s="322"/>
      <c r="I781" s="446"/>
      <c r="J781" s="446"/>
      <c r="K781" s="437"/>
      <c r="L781" s="446"/>
      <c r="M781" s="887">
        <f>G773*$G781</f>
        <v>0</v>
      </c>
      <c r="N781" s="888" t="s">
        <v>594</v>
      </c>
      <c r="O781" s="888"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585</v>
      </c>
      <c r="E782" s="881">
        <f t="shared" si="56"/>
        <v>42521</v>
      </c>
      <c r="F782" s="882" t="s">
        <v>1352</v>
      </c>
      <c r="G782" s="278"/>
      <c r="H782" s="322"/>
      <c r="I782" s="446"/>
      <c r="J782" s="446"/>
      <c r="K782" s="437"/>
      <c r="L782" s="446"/>
      <c r="M782" s="887">
        <f>G774*$G781</f>
        <v>0</v>
      </c>
      <c r="N782" s="888" t="s">
        <v>283</v>
      </c>
      <c r="O782" s="888"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585</v>
      </c>
      <c r="E783" s="881">
        <f t="shared" si="56"/>
        <v>42521</v>
      </c>
      <c r="F783" s="882" t="s">
        <v>1353</v>
      </c>
      <c r="G783" s="989" t="s">
        <v>590</v>
      </c>
      <c r="H783" s="322"/>
      <c r="I783" s="446"/>
      <c r="J783" s="446"/>
      <c r="K783" s="437"/>
      <c r="L783" s="446"/>
      <c r="M783" s="887">
        <f>G773*$G783</f>
        <v>0</v>
      </c>
      <c r="N783" s="888" t="s">
        <v>595</v>
      </c>
      <c r="O783" s="888"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585</v>
      </c>
      <c r="E784" s="881">
        <f t="shared" si="56"/>
        <v>42521</v>
      </c>
      <c r="F784" s="882" t="s">
        <v>1354</v>
      </c>
      <c r="G784" s="278"/>
      <c r="H784" s="322"/>
      <c r="I784" s="446"/>
      <c r="J784" s="446"/>
      <c r="K784" s="437"/>
      <c r="L784" s="446"/>
      <c r="M784" s="887">
        <f>G774*$G783</f>
        <v>0</v>
      </c>
      <c r="N784" s="888" t="s">
        <v>595</v>
      </c>
      <c r="O784" s="888"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585</v>
      </c>
      <c r="E785" s="881">
        <f t="shared" si="56"/>
        <v>42521</v>
      </c>
      <c r="F785" s="882" t="s">
        <v>1355</v>
      </c>
      <c r="G785" s="989" t="s">
        <v>590</v>
      </c>
      <c r="H785" s="1146"/>
      <c r="I785" s="447"/>
      <c r="J785" s="447"/>
      <c r="K785" s="438"/>
      <c r="L785" s="447"/>
      <c r="M785" s="887">
        <f>M783</f>
        <v>0</v>
      </c>
      <c r="N785" s="888" t="s">
        <v>594</v>
      </c>
      <c r="O785" s="888"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585</v>
      </c>
      <c r="E786" s="881">
        <f t="shared" si="56"/>
        <v>42521</v>
      </c>
      <c r="F786" s="882" t="s">
        <v>1356</v>
      </c>
      <c r="G786" s="278"/>
      <c r="H786" s="322"/>
      <c r="I786" s="446"/>
      <c r="J786" s="446"/>
      <c r="K786" s="437"/>
      <c r="L786" s="446"/>
      <c r="M786" s="887">
        <f>M784</f>
        <v>0</v>
      </c>
      <c r="N786" s="888" t="s">
        <v>283</v>
      </c>
      <c r="O786" s="888"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585</v>
      </c>
      <c r="E787" s="881">
        <f t="shared" si="56"/>
        <v>42551</v>
      </c>
      <c r="F787" s="882" t="s">
        <v>1343</v>
      </c>
      <c r="G787" s="278"/>
      <c r="H787" s="322"/>
      <c r="I787" s="446"/>
      <c r="J787" s="446"/>
      <c r="K787" s="437"/>
      <c r="L787" s="446"/>
      <c r="M787" s="887"/>
      <c r="N787" s="888" t="s">
        <v>594</v>
      </c>
      <c r="O787" s="888"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585</v>
      </c>
      <c r="E788" s="881">
        <f t="shared" si="56"/>
        <v>42551</v>
      </c>
      <c r="F788" s="882" t="s">
        <v>1344</v>
      </c>
      <c r="G788" s="278"/>
      <c r="H788" s="322"/>
      <c r="I788" s="446"/>
      <c r="J788" s="446"/>
      <c r="K788" s="437"/>
      <c r="L788" s="446"/>
      <c r="M788" s="887"/>
      <c r="N788" s="888" t="s">
        <v>283</v>
      </c>
      <c r="O788" s="888"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585</v>
      </c>
      <c r="E789" s="881">
        <f t="shared" si="56"/>
        <v>42551</v>
      </c>
      <c r="F789" s="882" t="s">
        <v>1345</v>
      </c>
      <c r="G789" s="989" t="s">
        <v>586</v>
      </c>
      <c r="H789" s="322"/>
      <c r="I789" s="446"/>
      <c r="J789" s="446"/>
      <c r="K789" s="437"/>
      <c r="L789" s="446"/>
      <c r="M789" s="887">
        <f>G787*$G789</f>
        <v>0</v>
      </c>
      <c r="N789" s="888" t="s">
        <v>595</v>
      </c>
      <c r="O789" s="888"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585</v>
      </c>
      <c r="E790" s="881">
        <f t="shared" si="56"/>
        <v>42551</v>
      </c>
      <c r="F790" s="882" t="s">
        <v>1346</v>
      </c>
      <c r="G790" s="278"/>
      <c r="H790" s="322"/>
      <c r="I790" s="446"/>
      <c r="J790" s="446"/>
      <c r="K790" s="437"/>
      <c r="L790" s="446"/>
      <c r="M790" s="887">
        <f>G788*$G789</f>
        <v>0</v>
      </c>
      <c r="N790" s="889" t="s">
        <v>595</v>
      </c>
      <c r="O790" s="890"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585</v>
      </c>
      <c r="E791" s="881">
        <f t="shared" si="56"/>
        <v>42551</v>
      </c>
      <c r="F791" s="882" t="s">
        <v>1347</v>
      </c>
      <c r="G791" s="989" t="s">
        <v>587</v>
      </c>
      <c r="H791" s="322"/>
      <c r="I791" s="446"/>
      <c r="J791" s="446"/>
      <c r="K791" s="437"/>
      <c r="L791" s="446"/>
      <c r="M791" s="887">
        <f>G787*$G791</f>
        <v>0</v>
      </c>
      <c r="N791" s="888" t="s">
        <v>594</v>
      </c>
      <c r="O791" s="888"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585</v>
      </c>
      <c r="E792" s="881">
        <f t="shared" si="56"/>
        <v>42551</v>
      </c>
      <c r="F792" s="882" t="s">
        <v>1348</v>
      </c>
      <c r="G792" s="278"/>
      <c r="H792" s="322"/>
      <c r="I792" s="446"/>
      <c r="J792" s="446"/>
      <c r="K792" s="437"/>
      <c r="L792" s="446"/>
      <c r="M792" s="887">
        <f>G788*$G791</f>
        <v>0</v>
      </c>
      <c r="N792" s="888" t="s">
        <v>283</v>
      </c>
      <c r="O792" s="888"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585</v>
      </c>
      <c r="E793" s="881">
        <f t="shared" si="56"/>
        <v>42551</v>
      </c>
      <c r="F793" s="882" t="s">
        <v>1349</v>
      </c>
      <c r="G793" s="989" t="s">
        <v>588</v>
      </c>
      <c r="H793" s="324"/>
      <c r="I793" s="444"/>
      <c r="J793" s="444"/>
      <c r="K793" s="435"/>
      <c r="L793" s="444"/>
      <c r="M793" s="887">
        <f>G787*$G793</f>
        <v>0</v>
      </c>
      <c r="N793" s="888" t="s">
        <v>595</v>
      </c>
      <c r="O793" s="888"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585</v>
      </c>
      <c r="E794" s="881">
        <f>C794</f>
        <v>42551</v>
      </c>
      <c r="F794" s="882" t="s">
        <v>1350</v>
      </c>
      <c r="G794" s="278"/>
      <c r="H794" s="324"/>
      <c r="I794" s="444"/>
      <c r="J794" s="444"/>
      <c r="K794" s="435"/>
      <c r="L794" s="444"/>
      <c r="M794" s="887">
        <f>G788*$G793</f>
        <v>0</v>
      </c>
      <c r="N794" s="888" t="s">
        <v>595</v>
      </c>
      <c r="O794" s="888"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585</v>
      </c>
      <c r="E795" s="881">
        <f t="shared" ref="E795:E800" si="57">C795</f>
        <v>42551</v>
      </c>
      <c r="F795" s="882" t="s">
        <v>1351</v>
      </c>
      <c r="G795" s="989" t="s">
        <v>589</v>
      </c>
      <c r="H795" s="322"/>
      <c r="I795" s="446"/>
      <c r="J795" s="446"/>
      <c r="K795" s="437"/>
      <c r="L795" s="446"/>
      <c r="M795" s="887">
        <f>G787*$G795</f>
        <v>0</v>
      </c>
      <c r="N795" s="888" t="s">
        <v>594</v>
      </c>
      <c r="O795" s="888"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585</v>
      </c>
      <c r="E796" s="881">
        <f t="shared" si="57"/>
        <v>42551</v>
      </c>
      <c r="F796" s="882" t="s">
        <v>1352</v>
      </c>
      <c r="G796" s="278"/>
      <c r="H796" s="322"/>
      <c r="I796" s="446"/>
      <c r="J796" s="446"/>
      <c r="K796" s="437"/>
      <c r="L796" s="446"/>
      <c r="M796" s="887">
        <f>G788*$G795</f>
        <v>0</v>
      </c>
      <c r="N796" s="888" t="s">
        <v>283</v>
      </c>
      <c r="O796" s="888"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585</v>
      </c>
      <c r="E797" s="881">
        <f t="shared" si="57"/>
        <v>42551</v>
      </c>
      <c r="F797" s="882" t="s">
        <v>1353</v>
      </c>
      <c r="G797" s="989" t="s">
        <v>590</v>
      </c>
      <c r="H797" s="322"/>
      <c r="I797" s="446"/>
      <c r="J797" s="446"/>
      <c r="K797" s="437"/>
      <c r="L797" s="446"/>
      <c r="M797" s="887">
        <f>G787*$G797</f>
        <v>0</v>
      </c>
      <c r="N797" s="888" t="s">
        <v>595</v>
      </c>
      <c r="O797" s="888"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585</v>
      </c>
      <c r="E798" s="881">
        <f t="shared" si="57"/>
        <v>42551</v>
      </c>
      <c r="F798" s="882" t="s">
        <v>1354</v>
      </c>
      <c r="G798" s="278"/>
      <c r="H798" s="322"/>
      <c r="I798" s="446"/>
      <c r="J798" s="446"/>
      <c r="K798" s="437"/>
      <c r="L798" s="446"/>
      <c r="M798" s="887">
        <f>G788*$G797</f>
        <v>0</v>
      </c>
      <c r="N798" s="888" t="s">
        <v>595</v>
      </c>
      <c r="O798" s="888"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585</v>
      </c>
      <c r="E799" s="881">
        <f t="shared" si="57"/>
        <v>42551</v>
      </c>
      <c r="F799" s="882" t="s">
        <v>1355</v>
      </c>
      <c r="G799" s="989" t="s">
        <v>590</v>
      </c>
      <c r="H799" s="1146"/>
      <c r="I799" s="447"/>
      <c r="J799" s="447"/>
      <c r="K799" s="438"/>
      <c r="L799" s="447"/>
      <c r="M799" s="887">
        <f>M797</f>
        <v>0</v>
      </c>
      <c r="N799" s="888" t="s">
        <v>594</v>
      </c>
      <c r="O799" s="888"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585</v>
      </c>
      <c r="E800" s="881">
        <f t="shared" si="57"/>
        <v>42551</v>
      </c>
      <c r="F800" s="882" t="s">
        <v>1356</v>
      </c>
      <c r="G800" s="278"/>
      <c r="H800" s="322"/>
      <c r="I800" s="446"/>
      <c r="J800" s="446"/>
      <c r="K800" s="437"/>
      <c r="L800" s="446"/>
      <c r="M800" s="887">
        <f>M798</f>
        <v>0</v>
      </c>
      <c r="N800" s="888" t="s">
        <v>283</v>
      </c>
      <c r="O800" s="888"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599</v>
      </c>
      <c r="E801" s="875">
        <f t="shared" ref="E801:E824" si="58">C801</f>
        <v>42473</v>
      </c>
      <c r="F801" s="876" t="s">
        <v>454</v>
      </c>
      <c r="G801" s="992" t="s">
        <v>1387</v>
      </c>
      <c r="H801" s="984" t="s">
        <v>1388</v>
      </c>
      <c r="I801" s="985">
        <v>8800</v>
      </c>
      <c r="J801" s="987">
        <v>8.6999999999999993</v>
      </c>
      <c r="K801" s="986">
        <f>I801*J801</f>
        <v>76560</v>
      </c>
      <c r="L801" s="985">
        <v>22250</v>
      </c>
      <c r="M801" s="1150">
        <f>ROUND(K801*L801,0)</f>
        <v>1703460000</v>
      </c>
      <c r="N801" s="883" t="s">
        <v>591</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x</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599</v>
      </c>
      <c r="E802" s="1154">
        <f t="shared" si="58"/>
        <v>42461</v>
      </c>
      <c r="F802" s="82" t="s">
        <v>454</v>
      </c>
      <c r="G802" s="82"/>
      <c r="H802" s="83" t="s">
        <v>700</v>
      </c>
      <c r="I802" s="444">
        <v>5000</v>
      </c>
      <c r="J802" s="444"/>
      <c r="K802" s="435"/>
      <c r="L802" s="444"/>
      <c r="M802" s="84">
        <f>ROUND(I802*J802,0)</f>
        <v>0</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702</v>
      </c>
      <c r="E803" s="1154">
        <f t="shared" si="58"/>
        <v>42473</v>
      </c>
      <c r="F803" s="82" t="s">
        <v>454</v>
      </c>
      <c r="G803" s="82"/>
      <c r="H803" s="83" t="s">
        <v>700</v>
      </c>
      <c r="I803" s="444">
        <v>5000</v>
      </c>
      <c r="J803" s="444"/>
      <c r="K803" s="435"/>
      <c r="L803" s="444"/>
      <c r="M803" s="84">
        <f>ROUND(I803*J803,0)</f>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9" si="59">IF(C804&lt;&gt;"",MONTH(C804),"")</f>
        <v>4</v>
      </c>
      <c r="C804" s="81">
        <v>42473</v>
      </c>
      <c r="D804" s="81" t="s">
        <v>702</v>
      </c>
      <c r="E804" s="1154">
        <f t="shared" si="58"/>
        <v>42473</v>
      </c>
      <c r="F804" s="82" t="s">
        <v>454</v>
      </c>
      <c r="G804" s="82"/>
      <c r="H804" s="83" t="s">
        <v>700</v>
      </c>
      <c r="I804" s="444">
        <v>3800</v>
      </c>
      <c r="J804" s="444"/>
      <c r="K804" s="435"/>
      <c r="L804" s="444"/>
      <c r="M804" s="84">
        <f>ROUND(I804*J804,0)</f>
        <v>0</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599</v>
      </c>
      <c r="E805" s="1154">
        <f t="shared" si="58"/>
        <v>42473</v>
      </c>
      <c r="F805" s="82" t="s">
        <v>454</v>
      </c>
      <c r="G805" s="82"/>
      <c r="H805" s="83" t="s">
        <v>1388</v>
      </c>
      <c r="I805" s="444">
        <v>8800</v>
      </c>
      <c r="J805" s="444"/>
      <c r="K805" s="435"/>
      <c r="L805" s="444"/>
      <c r="M805" s="84">
        <f>ROUND(I805*J805,0)</f>
        <v>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s="1181" customFormat="1" ht="15.75" customHeight="1">
      <c r="A806" s="1180" t="str">
        <f>IF(B806&lt;&gt;"",IF(AND(B806='IN-TC'!$S$4,OR(TH!N806="1111",TH!O806="1111")),TH!D806,""),"")</f>
        <v/>
      </c>
      <c r="B806" s="1148">
        <f t="shared" si="59"/>
        <v>5</v>
      </c>
      <c r="C806" s="875">
        <f>E806</f>
        <v>42496</v>
      </c>
      <c r="D806" s="875" t="s">
        <v>599</v>
      </c>
      <c r="E806" s="875">
        <v>42496</v>
      </c>
      <c r="F806" s="876" t="s">
        <v>452</v>
      </c>
      <c r="G806" s="992" t="s">
        <v>1540</v>
      </c>
      <c r="H806" s="984" t="s">
        <v>604</v>
      </c>
      <c r="I806" s="985">
        <v>4140</v>
      </c>
      <c r="J806" s="987">
        <v>11.5</v>
      </c>
      <c r="K806" s="986">
        <f>I806*J806</f>
        <v>47610</v>
      </c>
      <c r="L806" s="985">
        <v>22255</v>
      </c>
      <c r="M806" s="1150">
        <f>ROUND(K806*L806,0)</f>
        <v>1059560550</v>
      </c>
      <c r="N806" s="883" t="s">
        <v>591</v>
      </c>
      <c r="O806" s="883" t="s">
        <v>299</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s="1181" customFormat="1" ht="15.75" customHeight="1">
      <c r="A807" s="1180" t="str">
        <f>IF(B807&lt;&gt;"",IF(AND(B807='IN-TC'!$S$4,OR(TH!N807="1111",TH!O807="1111")),TH!D807,""),"")</f>
        <v/>
      </c>
      <c r="B807" s="1148">
        <f t="shared" ref="B807:B808" si="60">IF(C807&lt;&gt;"",MONTH(C807),"")</f>
        <v>5</v>
      </c>
      <c r="C807" s="875">
        <f t="shared" ref="C807:C810" si="61">E807</f>
        <v>42496</v>
      </c>
      <c r="D807" s="875" t="s">
        <v>599</v>
      </c>
      <c r="E807" s="875">
        <v>42496</v>
      </c>
      <c r="F807" s="876" t="s">
        <v>1541</v>
      </c>
      <c r="G807" s="992" t="s">
        <v>1540</v>
      </c>
      <c r="H807" s="984" t="s">
        <v>604</v>
      </c>
      <c r="I807" s="985">
        <v>880</v>
      </c>
      <c r="J807" s="987">
        <v>8.4</v>
      </c>
      <c r="K807" s="986">
        <f>I807*J807</f>
        <v>7392</v>
      </c>
      <c r="L807" s="985">
        <v>22255</v>
      </c>
      <c r="M807" s="1150">
        <f>ROUND(K807*L807,0)</f>
        <v>164508960</v>
      </c>
      <c r="N807" s="883" t="s">
        <v>591</v>
      </c>
      <c r="O807" s="883" t="s">
        <v>299</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s="1181" customFormat="1" ht="15.75" customHeight="1">
      <c r="A808" s="1180" t="str">
        <f>IF(B808&lt;&gt;"",IF(AND(B808='IN-TC'!$S$4,OR(TH!N808="1111",TH!O808="1111")),TH!D808,""),"")</f>
        <v/>
      </c>
      <c r="B808" s="1148">
        <f t="shared" si="60"/>
        <v>5</v>
      </c>
      <c r="C808" s="875">
        <f t="shared" si="61"/>
        <v>42496</v>
      </c>
      <c r="D808" s="875" t="s">
        <v>599</v>
      </c>
      <c r="E808" s="875">
        <v>42496</v>
      </c>
      <c r="F808" s="876" t="s">
        <v>1542</v>
      </c>
      <c r="G808" s="992" t="s">
        <v>1540</v>
      </c>
      <c r="H808" s="984" t="s">
        <v>604</v>
      </c>
      <c r="I808" s="985">
        <v>600</v>
      </c>
      <c r="J808" s="987">
        <v>12</v>
      </c>
      <c r="K808" s="986">
        <f>I808*J808</f>
        <v>7200</v>
      </c>
      <c r="L808" s="985">
        <v>22255</v>
      </c>
      <c r="M808" s="1150">
        <f>ROUND(K808*L808,0)</f>
        <v>160236000</v>
      </c>
      <c r="N808" s="883" t="s">
        <v>591</v>
      </c>
      <c r="O808" s="883" t="s">
        <v>299</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s="1181" customFormat="1" ht="15.75" customHeight="1">
      <c r="A809" s="1180" t="str">
        <f>IF(B809&lt;&gt;"",IF(AND(B809='IN-TC'!$S$4,OR(TH!N809="1111",TH!O809="1111")),TH!D809,""),"")</f>
        <v/>
      </c>
      <c r="B809" s="1148">
        <f t="shared" ref="B809" si="62">IF(C809&lt;&gt;"",MONTH(C809),"")</f>
        <v>5</v>
      </c>
      <c r="C809" s="875">
        <f t="shared" si="61"/>
        <v>42496</v>
      </c>
      <c r="D809" s="875" t="s">
        <v>599</v>
      </c>
      <c r="E809" s="875">
        <v>42496</v>
      </c>
      <c r="F809" s="876" t="s">
        <v>1543</v>
      </c>
      <c r="G809" s="992" t="s">
        <v>1540</v>
      </c>
      <c r="H809" s="984" t="s">
        <v>604</v>
      </c>
      <c r="I809" s="985">
        <v>1000</v>
      </c>
      <c r="J809" s="987">
        <v>8.6</v>
      </c>
      <c r="K809" s="986">
        <f>I809*J809</f>
        <v>8600</v>
      </c>
      <c r="L809" s="985">
        <v>22255</v>
      </c>
      <c r="M809" s="1150">
        <f>ROUND(K809*L809,0)</f>
        <v>191393000</v>
      </c>
      <c r="N809" s="883" t="s">
        <v>591</v>
      </c>
      <c r="O809" s="883" t="s">
        <v>299</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s="1181" customFormat="1" ht="15.75" customHeight="1">
      <c r="A810" s="1180" t="str">
        <f>IF(B810&lt;&gt;"",IF(AND(B810='IN-TC'!$S$4,OR(TH!N810="1111",TH!O810="1111")),TH!D810,""),"")</f>
        <v/>
      </c>
      <c r="B810" s="1148">
        <f t="shared" ref="B810" si="63">IF(C810&lt;&gt;"",MONTH(C810),"")</f>
        <v>5</v>
      </c>
      <c r="C810" s="875">
        <f t="shared" si="61"/>
        <v>42502</v>
      </c>
      <c r="D810" s="875" t="s">
        <v>600</v>
      </c>
      <c r="E810" s="875">
        <v>42502</v>
      </c>
      <c r="F810" s="876" t="s">
        <v>454</v>
      </c>
      <c r="G810" s="992" t="s">
        <v>1544</v>
      </c>
      <c r="H810" s="984" t="s">
        <v>601</v>
      </c>
      <c r="I810" s="985">
        <v>4800</v>
      </c>
      <c r="J810" s="987">
        <v>8.6999999999999993</v>
      </c>
      <c r="K810" s="986">
        <f>I810*J810</f>
        <v>41760</v>
      </c>
      <c r="L810" s="985">
        <v>22255</v>
      </c>
      <c r="M810" s="1150">
        <f>ROUND(K810*L810,0)</f>
        <v>929368800</v>
      </c>
      <c r="N810" s="883" t="s">
        <v>591</v>
      </c>
      <c r="O810" s="883" t="s">
        <v>299</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42462</v>
      </c>
      <c r="D811" s="64" t="s">
        <v>878</v>
      </c>
      <c r="E811" s="64">
        <f t="shared" si="58"/>
        <v>42462</v>
      </c>
      <c r="F811" s="67" t="s">
        <v>1025</v>
      </c>
      <c r="G811" s="995" t="s">
        <v>1410</v>
      </c>
      <c r="H811" s="74" t="s">
        <v>818</v>
      </c>
      <c r="I811" s="446"/>
      <c r="J811" s="446"/>
      <c r="K811" s="437"/>
      <c r="L811" s="446"/>
      <c r="M811" s="65">
        <v>1036637</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42462</v>
      </c>
      <c r="D812" s="64" t="s">
        <v>878</v>
      </c>
      <c r="E812" s="64">
        <f t="shared" si="58"/>
        <v>42462</v>
      </c>
      <c r="F812" s="67" t="s">
        <v>1411</v>
      </c>
      <c r="G812" s="995" t="s">
        <v>1410</v>
      </c>
      <c r="H812" s="74" t="s">
        <v>818</v>
      </c>
      <c r="I812" s="446"/>
      <c r="J812" s="446"/>
      <c r="K812" s="437"/>
      <c r="L812" s="446"/>
      <c r="M812" s="65">
        <v>103663</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42464</v>
      </c>
      <c r="D813" s="64" t="s">
        <v>879</v>
      </c>
      <c r="E813" s="64">
        <f t="shared" si="58"/>
        <v>42464</v>
      </c>
      <c r="F813" s="67" t="s">
        <v>1024</v>
      </c>
      <c r="G813" s="995" t="s">
        <v>1412</v>
      </c>
      <c r="H813" s="74" t="s">
        <v>1048</v>
      </c>
      <c r="I813" s="446"/>
      <c r="J813" s="446"/>
      <c r="K813" s="437"/>
      <c r="L813" s="446"/>
      <c r="M813" s="65">
        <v>2100000</v>
      </c>
      <c r="N813" s="66" t="s">
        <v>101</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si="59"/>
        <v>4</v>
      </c>
      <c r="C814" s="64">
        <v>42464</v>
      </c>
      <c r="D814" s="64" t="s">
        <v>880</v>
      </c>
      <c r="E814" s="64">
        <f t="shared" si="58"/>
        <v>42464</v>
      </c>
      <c r="F814" s="67" t="s">
        <v>785</v>
      </c>
      <c r="G814" s="995" t="s">
        <v>1413</v>
      </c>
      <c r="H814" s="74" t="s">
        <v>818</v>
      </c>
      <c r="I814" s="446"/>
      <c r="J814" s="446"/>
      <c r="K814" s="437"/>
      <c r="L814" s="446"/>
      <c r="M814" s="65">
        <v>646036</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59"/>
        <v>4</v>
      </c>
      <c r="C815" s="64">
        <v>42464</v>
      </c>
      <c r="D815" s="64" t="s">
        <v>880</v>
      </c>
      <c r="E815" s="64">
        <f t="shared" si="58"/>
        <v>42464</v>
      </c>
      <c r="F815" s="67" t="s">
        <v>786</v>
      </c>
      <c r="G815" s="995" t="s">
        <v>1413</v>
      </c>
      <c r="H815" s="74" t="s">
        <v>818</v>
      </c>
      <c r="I815" s="446"/>
      <c r="J815" s="446"/>
      <c r="K815" s="437"/>
      <c r="L815" s="446"/>
      <c r="M815" s="65">
        <v>64604</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59"/>
        <v>4</v>
      </c>
      <c r="C816" s="64">
        <v>42465</v>
      </c>
      <c r="D816" s="64" t="s">
        <v>881</v>
      </c>
      <c r="E816" s="64">
        <f t="shared" si="58"/>
        <v>42465</v>
      </c>
      <c r="F816" s="67" t="s">
        <v>1414</v>
      </c>
      <c r="G816" s="995" t="s">
        <v>1415</v>
      </c>
      <c r="H816" s="74" t="s">
        <v>856</v>
      </c>
      <c r="I816" s="446"/>
      <c r="J816" s="446"/>
      <c r="K816" s="437"/>
      <c r="L816" s="446"/>
      <c r="M816" s="65">
        <v>1981538</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59"/>
        <v>4</v>
      </c>
      <c r="C817" s="64">
        <v>42465</v>
      </c>
      <c r="D817" s="64" t="s">
        <v>881</v>
      </c>
      <c r="E817" s="64">
        <f t="shared" si="58"/>
        <v>42465</v>
      </c>
      <c r="F817" s="67" t="s">
        <v>1416</v>
      </c>
      <c r="G817" s="995" t="s">
        <v>1415</v>
      </c>
      <c r="H817" s="74" t="s">
        <v>856</v>
      </c>
      <c r="I817" s="446"/>
      <c r="J817" s="446"/>
      <c r="K817" s="437"/>
      <c r="L817" s="446"/>
      <c r="M817" s="65">
        <v>198154</v>
      </c>
      <c r="N817" s="66" t="s">
        <v>9</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IF(C818&lt;&gt;"",MONTH(C818),"")</f>
        <v>4</v>
      </c>
      <c r="C818" s="64">
        <f>E818</f>
        <v>42468</v>
      </c>
      <c r="D818" s="64" t="s">
        <v>882</v>
      </c>
      <c r="E818" s="64">
        <v>42468</v>
      </c>
      <c r="F818" s="67" t="s">
        <v>1118</v>
      </c>
      <c r="G818" s="995" t="s">
        <v>929</v>
      </c>
      <c r="H818" s="74" t="s">
        <v>1378</v>
      </c>
      <c r="I818" s="446"/>
      <c r="J818" s="446"/>
      <c r="K818" s="437"/>
      <c r="L818" s="446"/>
      <c r="M818" s="65">
        <v>20000000</v>
      </c>
      <c r="N818" s="66" t="s">
        <v>26</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59"/>
        <v>4</v>
      </c>
      <c r="C819" s="64">
        <v>42471</v>
      </c>
      <c r="D819" s="64" t="s">
        <v>883</v>
      </c>
      <c r="E819" s="64">
        <f t="shared" si="58"/>
        <v>42471</v>
      </c>
      <c r="F819" s="67" t="s">
        <v>1433</v>
      </c>
      <c r="G819" s="995" t="s">
        <v>1428</v>
      </c>
      <c r="H819" s="74" t="s">
        <v>1429</v>
      </c>
      <c r="I819" s="446"/>
      <c r="J819" s="446"/>
      <c r="K819" s="437"/>
      <c r="L819" s="446"/>
      <c r="M819" s="65">
        <v>1400080</v>
      </c>
      <c r="N819" s="66" t="s">
        <v>8</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ref="B820:B899" si="64">IF(C820&lt;&gt;"",MONTH(C820),"")</f>
        <v>4</v>
      </c>
      <c r="C820" s="64">
        <v>42475</v>
      </c>
      <c r="D820" s="64" t="s">
        <v>885</v>
      </c>
      <c r="E820" s="64">
        <f t="shared" si="58"/>
        <v>42475</v>
      </c>
      <c r="F820" s="67" t="s">
        <v>1025</v>
      </c>
      <c r="G820" s="995" t="s">
        <v>1417</v>
      </c>
      <c r="H820" s="74" t="s">
        <v>818</v>
      </c>
      <c r="I820" s="446"/>
      <c r="J820" s="446"/>
      <c r="K820" s="437"/>
      <c r="L820" s="446"/>
      <c r="M820" s="65">
        <v>2879537</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4"/>
        <v>4</v>
      </c>
      <c r="C821" s="64">
        <v>42475</v>
      </c>
      <c r="D821" s="64" t="s">
        <v>885</v>
      </c>
      <c r="E821" s="64">
        <f t="shared" si="58"/>
        <v>42475</v>
      </c>
      <c r="F821" s="67" t="s">
        <v>1411</v>
      </c>
      <c r="G821" s="995" t="s">
        <v>1417</v>
      </c>
      <c r="H821" s="74" t="s">
        <v>818</v>
      </c>
      <c r="I821" s="446"/>
      <c r="J821" s="446"/>
      <c r="K821" s="437"/>
      <c r="L821" s="446"/>
      <c r="M821" s="65">
        <v>287953</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4"/>
        <v>4</v>
      </c>
      <c r="C822" s="64">
        <v>42475</v>
      </c>
      <c r="D822" s="64" t="s">
        <v>886</v>
      </c>
      <c r="E822" s="64">
        <f t="shared" si="58"/>
        <v>42475</v>
      </c>
      <c r="F822" s="67" t="s">
        <v>1418</v>
      </c>
      <c r="G822" s="995" t="s">
        <v>1419</v>
      </c>
      <c r="H822" s="74" t="s">
        <v>1420</v>
      </c>
      <c r="I822" s="446"/>
      <c r="J822" s="446"/>
      <c r="K822" s="437"/>
      <c r="L822" s="446"/>
      <c r="M822" s="65">
        <v>1935000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4"/>
        <v>4</v>
      </c>
      <c r="C823" s="64">
        <v>42477</v>
      </c>
      <c r="D823" s="64" t="s">
        <v>887</v>
      </c>
      <c r="E823" s="64">
        <f t="shared" si="58"/>
        <v>42477</v>
      </c>
      <c r="F823" s="67" t="s">
        <v>780</v>
      </c>
      <c r="G823" s="995" t="s">
        <v>1421</v>
      </c>
      <c r="H823" s="74" t="s">
        <v>818</v>
      </c>
      <c r="I823" s="446"/>
      <c r="J823" s="446"/>
      <c r="K823" s="437"/>
      <c r="L823" s="446"/>
      <c r="M823" s="65">
        <v>484527</v>
      </c>
      <c r="N823" s="66" t="s">
        <v>101</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ref="B824:B833" si="65">IF(C824&lt;&gt;"",MONTH(C824),"")</f>
        <v>4</v>
      </c>
      <c r="C824" s="64">
        <v>42477</v>
      </c>
      <c r="D824" s="64" t="s">
        <v>887</v>
      </c>
      <c r="E824" s="64">
        <f t="shared" si="58"/>
        <v>42477</v>
      </c>
      <c r="F824" s="67" t="s">
        <v>781</v>
      </c>
      <c r="G824" s="995" t="s">
        <v>1421</v>
      </c>
      <c r="H824" s="74" t="s">
        <v>818</v>
      </c>
      <c r="I824" s="446"/>
      <c r="J824" s="446"/>
      <c r="K824" s="437"/>
      <c r="L824" s="446"/>
      <c r="M824" s="65">
        <v>48453</v>
      </c>
      <c r="N824" s="66" t="s">
        <v>9</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5"/>
        <v>4</v>
      </c>
      <c r="C825" s="64">
        <v>42484</v>
      </c>
      <c r="D825" s="64" t="s">
        <v>888</v>
      </c>
      <c r="E825" s="64">
        <v>42484</v>
      </c>
      <c r="F825" s="67" t="s">
        <v>1024</v>
      </c>
      <c r="G825" s="995" t="s">
        <v>1439</v>
      </c>
      <c r="H825" s="74" t="s">
        <v>1048</v>
      </c>
      <c r="I825" s="446"/>
      <c r="J825" s="446"/>
      <c r="K825" s="437"/>
      <c r="L825" s="446"/>
      <c r="M825" s="65">
        <v>2100000</v>
      </c>
      <c r="N825" s="66" t="s">
        <v>101</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5"/>
        <v>4</v>
      </c>
      <c r="C826" s="64">
        <v>42485</v>
      </c>
      <c r="D826" s="64" t="s">
        <v>889</v>
      </c>
      <c r="E826" s="64">
        <v>42485</v>
      </c>
      <c r="F826" s="67" t="s">
        <v>800</v>
      </c>
      <c r="G826" s="995" t="s">
        <v>1457</v>
      </c>
      <c r="H826" s="74" t="s">
        <v>818</v>
      </c>
      <c r="I826" s="446"/>
      <c r="J826" s="446"/>
      <c r="K826" s="437"/>
      <c r="L826" s="446"/>
      <c r="M826" s="65">
        <v>1660746</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 t="shared" si="65"/>
        <v>4</v>
      </c>
      <c r="C827" s="64">
        <v>42485</v>
      </c>
      <c r="D827" s="64" t="s">
        <v>889</v>
      </c>
      <c r="E827" s="64">
        <v>42485</v>
      </c>
      <c r="F827" s="67" t="s">
        <v>801</v>
      </c>
      <c r="G827" s="995" t="s">
        <v>1457</v>
      </c>
      <c r="H827" s="74" t="s">
        <v>818</v>
      </c>
      <c r="I827" s="446"/>
      <c r="J827" s="446"/>
      <c r="K827" s="437"/>
      <c r="L827" s="446"/>
      <c r="M827" s="65">
        <v>166074</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 t="shared" ref="B828" si="66">IF(C828&lt;&gt;"",MONTH(C828),"")</f>
        <v>4</v>
      </c>
      <c r="C828" s="64">
        <f>E828</f>
        <v>42485</v>
      </c>
      <c r="D828" s="64" t="s">
        <v>890</v>
      </c>
      <c r="E828" s="64">
        <v>42485</v>
      </c>
      <c r="F828" s="321" t="s">
        <v>1118</v>
      </c>
      <c r="G828" s="995" t="s">
        <v>929</v>
      </c>
      <c r="H828" s="322" t="s">
        <v>1437</v>
      </c>
      <c r="I828" s="446"/>
      <c r="J828" s="446"/>
      <c r="K828" s="437"/>
      <c r="L828" s="446"/>
      <c r="M828" s="65">
        <v>80000000</v>
      </c>
      <c r="N828" s="323" t="s">
        <v>26</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f>E829</f>
        <v>42486</v>
      </c>
      <c r="D829" s="64" t="s">
        <v>891</v>
      </c>
      <c r="E829" s="64">
        <v>42486</v>
      </c>
      <c r="F829" s="321" t="s">
        <v>1118</v>
      </c>
      <c r="G829" s="995" t="s">
        <v>929</v>
      </c>
      <c r="H829" s="322" t="s">
        <v>773</v>
      </c>
      <c r="I829" s="446"/>
      <c r="J829" s="446"/>
      <c r="K829" s="437"/>
      <c r="L829" s="446"/>
      <c r="M829" s="65">
        <v>20000000</v>
      </c>
      <c r="N829" s="323" t="s">
        <v>26</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2" t="str">
        <f>IF(B830&lt;&gt;"",IF(AND(B830='IN-TC'!$S$4,OR(TH!N830="1111",TH!O830="1111")),TH!D830,""),"")</f>
        <v/>
      </c>
      <c r="B830" s="63">
        <f t="shared" si="65"/>
        <v>4</v>
      </c>
      <c r="C830" s="64">
        <v>42487</v>
      </c>
      <c r="D830" s="64" t="s">
        <v>892</v>
      </c>
      <c r="E830" s="64">
        <v>42487</v>
      </c>
      <c r="F830" s="67" t="s">
        <v>1442</v>
      </c>
      <c r="G830" s="995" t="s">
        <v>1444</v>
      </c>
      <c r="H830" s="74" t="s">
        <v>849</v>
      </c>
      <c r="I830" s="446"/>
      <c r="J830" s="446"/>
      <c r="K830" s="437"/>
      <c r="L830" s="446"/>
      <c r="M830" s="65">
        <v>16050000</v>
      </c>
      <c r="N830" s="66" t="s">
        <v>101</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si="65"/>
        <v>4</v>
      </c>
      <c r="C831" s="64">
        <v>42487</v>
      </c>
      <c r="D831" s="64" t="s">
        <v>892</v>
      </c>
      <c r="E831" s="64">
        <v>42487</v>
      </c>
      <c r="F831" s="67" t="s">
        <v>1443</v>
      </c>
      <c r="G831" s="995" t="s">
        <v>1444</v>
      </c>
      <c r="H831" s="74" t="s">
        <v>849</v>
      </c>
      <c r="I831" s="446"/>
      <c r="J831" s="446"/>
      <c r="K831" s="437"/>
      <c r="L831" s="446"/>
      <c r="M831" s="65">
        <v>1605000</v>
      </c>
      <c r="N831" s="66" t="s">
        <v>9</v>
      </c>
      <c r="O831" s="66" t="s">
        <v>63</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5"/>
        <v>4</v>
      </c>
      <c r="C832" s="64">
        <v>42487</v>
      </c>
      <c r="D832" s="64" t="s">
        <v>893</v>
      </c>
      <c r="E832" s="64">
        <v>42487</v>
      </c>
      <c r="F832" s="67" t="s">
        <v>1453</v>
      </c>
      <c r="G832" s="995" t="s">
        <v>1455</v>
      </c>
      <c r="H832" s="74" t="s">
        <v>1456</v>
      </c>
      <c r="I832" s="446"/>
      <c r="J832" s="446"/>
      <c r="K832" s="437"/>
      <c r="L832" s="446"/>
      <c r="M832" s="65">
        <v>2638000</v>
      </c>
      <c r="N832" s="66" t="s">
        <v>101</v>
      </c>
      <c r="O832" s="66" t="s">
        <v>63</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5"/>
        <v>4</v>
      </c>
      <c r="C833" s="64">
        <v>42487</v>
      </c>
      <c r="D833" s="64" t="s">
        <v>893</v>
      </c>
      <c r="E833" s="64">
        <v>42487</v>
      </c>
      <c r="F833" s="67" t="s">
        <v>1454</v>
      </c>
      <c r="G833" s="995" t="s">
        <v>1455</v>
      </c>
      <c r="H833" s="74" t="s">
        <v>1456</v>
      </c>
      <c r="I833" s="446"/>
      <c r="J833" s="446"/>
      <c r="K833" s="437"/>
      <c r="L833" s="446"/>
      <c r="M833" s="65">
        <v>263800</v>
      </c>
      <c r="N833" s="66" t="s">
        <v>9</v>
      </c>
      <c r="O833" s="66" t="s">
        <v>63</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4"/>
        <v>4</v>
      </c>
      <c r="C834" s="64">
        <v>42489</v>
      </c>
      <c r="D834" s="64" t="s">
        <v>894</v>
      </c>
      <c r="E834" s="64">
        <f>C834</f>
        <v>42489</v>
      </c>
      <c r="F834" s="67" t="s">
        <v>1376</v>
      </c>
      <c r="G834" s="995"/>
      <c r="H834" s="322" t="s">
        <v>1378</v>
      </c>
      <c r="I834" s="446"/>
      <c r="J834" s="446"/>
      <c r="K834" s="437"/>
      <c r="L834" s="446"/>
      <c r="M834" s="65">
        <v>818182</v>
      </c>
      <c r="N834" s="66" t="s">
        <v>101</v>
      </c>
      <c r="O834" s="66" t="s">
        <v>63</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IF(C835&lt;&gt;"",MONTH(C835),"")</f>
        <v>4</v>
      </c>
      <c r="C835" s="64">
        <v>42489</v>
      </c>
      <c r="D835" s="64" t="s">
        <v>894</v>
      </c>
      <c r="E835" s="64">
        <f>C835</f>
        <v>42489</v>
      </c>
      <c r="F835" s="67" t="s">
        <v>1377</v>
      </c>
      <c r="G835" s="995"/>
      <c r="H835" s="322" t="s">
        <v>1378</v>
      </c>
      <c r="I835" s="446"/>
      <c r="J835" s="446"/>
      <c r="K835" s="437"/>
      <c r="L835" s="446"/>
      <c r="M835" s="65">
        <v>81818</v>
      </c>
      <c r="N835" s="66" t="s">
        <v>9</v>
      </c>
      <c r="O835" s="66" t="s">
        <v>63</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IF(C836&lt;&gt;"",MONTH(C836),"")</f>
        <v>4</v>
      </c>
      <c r="C836" s="64">
        <v>42489</v>
      </c>
      <c r="D836" s="64" t="s">
        <v>895</v>
      </c>
      <c r="E836" s="64">
        <f>C836</f>
        <v>42489</v>
      </c>
      <c r="F836" s="67" t="s">
        <v>780</v>
      </c>
      <c r="G836" s="995" t="s">
        <v>1458</v>
      </c>
      <c r="H836" s="74" t="s">
        <v>818</v>
      </c>
      <c r="I836" s="446"/>
      <c r="J836" s="446"/>
      <c r="K836" s="437"/>
      <c r="L836" s="446"/>
      <c r="M836" s="65">
        <v>546782</v>
      </c>
      <c r="N836" s="66" t="s">
        <v>101</v>
      </c>
      <c r="O836" s="66" t="s">
        <v>63</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IF(C837&lt;&gt;"",MONTH(C837),"")</f>
        <v>4</v>
      </c>
      <c r="C837" s="64">
        <v>42489</v>
      </c>
      <c r="D837" s="64" t="s">
        <v>895</v>
      </c>
      <c r="E837" s="64">
        <f>C837</f>
        <v>42489</v>
      </c>
      <c r="F837" s="67" t="s">
        <v>781</v>
      </c>
      <c r="G837" s="995" t="s">
        <v>1458</v>
      </c>
      <c r="H837" s="74" t="s">
        <v>818</v>
      </c>
      <c r="I837" s="446"/>
      <c r="J837" s="446"/>
      <c r="K837" s="437"/>
      <c r="L837" s="446"/>
      <c r="M837" s="65">
        <v>54678</v>
      </c>
      <c r="N837" s="66" t="s">
        <v>9</v>
      </c>
      <c r="O837" s="66" t="s">
        <v>63</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7.25" customHeight="1">
      <c r="A838" s="342" t="str">
        <f>IF(B838&lt;&gt;"",IF(AND(B838='IN-TC'!$S$4,OR(TH!N838="1111",TH!O838="1111")),TH!D838,""),"")</f>
        <v/>
      </c>
      <c r="B838" s="63">
        <f t="shared" si="64"/>
        <v>4</v>
      </c>
      <c r="C838" s="64">
        <v>42489</v>
      </c>
      <c r="D838" s="64" t="s">
        <v>896</v>
      </c>
      <c r="E838" s="64">
        <f>C838</f>
        <v>42489</v>
      </c>
      <c r="F838" s="67" t="s">
        <v>1422</v>
      </c>
      <c r="G838" s="995"/>
      <c r="H838" s="74" t="s">
        <v>859</v>
      </c>
      <c r="I838" s="446"/>
      <c r="J838" s="446"/>
      <c r="K838" s="437"/>
      <c r="L838" s="446"/>
      <c r="M838" s="65"/>
      <c r="N838" s="332" t="s">
        <v>595</v>
      </c>
      <c r="O838" s="66" t="s">
        <v>63</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ref="B839:B847" si="67">IF(C839&lt;&gt;"",MONTH(C839),"")</f>
        <v>4</v>
      </c>
      <c r="C839" s="64">
        <v>42461</v>
      </c>
      <c r="D839" s="320" t="s">
        <v>680</v>
      </c>
      <c r="E839" s="64">
        <f t="shared" ref="E839:E856" si="68">C839</f>
        <v>42461</v>
      </c>
      <c r="F839" s="67" t="s">
        <v>354</v>
      </c>
      <c r="G839" s="995" t="s">
        <v>1423</v>
      </c>
      <c r="H839" s="7" t="s">
        <v>625</v>
      </c>
      <c r="I839" s="446">
        <v>2000</v>
      </c>
      <c r="J839" s="446">
        <v>3200</v>
      </c>
      <c r="K839" s="437"/>
      <c r="L839" s="446"/>
      <c r="M839" s="65">
        <f>ROUND(I839*J839,0)</f>
        <v>6400000</v>
      </c>
      <c r="N839" s="66" t="s">
        <v>277</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2" t="str">
        <f>IF(B840&lt;&gt;"",IF(AND(B840='IN-TC'!$S$4,OR(TH!N840="1111",TH!O840="1111")),TH!D840,""),"")</f>
        <v/>
      </c>
      <c r="B840" s="63">
        <f t="shared" si="67"/>
        <v>4</v>
      </c>
      <c r="C840" s="64">
        <v>42467</v>
      </c>
      <c r="D840" s="320" t="s">
        <v>681</v>
      </c>
      <c r="E840" s="64">
        <f t="shared" si="68"/>
        <v>42467</v>
      </c>
      <c r="F840" s="67" t="s">
        <v>656</v>
      </c>
      <c r="G840" s="995" t="s">
        <v>1424</v>
      </c>
      <c r="H840" s="74" t="s">
        <v>1441</v>
      </c>
      <c r="I840" s="446">
        <v>4500</v>
      </c>
      <c r="J840" s="446">
        <v>14000</v>
      </c>
      <c r="K840" s="437"/>
      <c r="L840" s="446"/>
      <c r="M840" s="65">
        <f t="shared" ref="M840:M846" si="69">ROUND(I840*J840,0)</f>
        <v>63000000</v>
      </c>
      <c r="N840" s="66" t="s">
        <v>277</v>
      </c>
      <c r="O840" s="66" t="s">
        <v>8</v>
      </c>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2" t="str">
        <f>IF(B841&lt;&gt;"",IF(AND(B841='IN-TC'!$S$4,OR(TH!N841="1111",TH!O841="1111")),TH!D841,""),"")</f>
        <v/>
      </c>
      <c r="B841" s="63">
        <f t="shared" si="67"/>
        <v>4</v>
      </c>
      <c r="C841" s="64">
        <v>42467</v>
      </c>
      <c r="D841" s="320" t="s">
        <v>681</v>
      </c>
      <c r="E841" s="64">
        <f t="shared" si="68"/>
        <v>42467</v>
      </c>
      <c r="F841" s="67" t="s">
        <v>657</v>
      </c>
      <c r="G841" s="995" t="s">
        <v>1424</v>
      </c>
      <c r="H841" s="74" t="s">
        <v>1441</v>
      </c>
      <c r="I841" s="446"/>
      <c r="J841" s="446"/>
      <c r="K841" s="437"/>
      <c r="L841" s="446"/>
      <c r="M841" s="65">
        <v>6300000</v>
      </c>
      <c r="N841" s="66" t="s">
        <v>9</v>
      </c>
      <c r="O841" s="66" t="s">
        <v>8</v>
      </c>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2" t="str">
        <f>IF(B842&lt;&gt;"",IF(AND(B842='IN-TC'!$S$4,OR(TH!N842="1111",TH!O842="1111")),TH!D842,""),"")</f>
        <v/>
      </c>
      <c r="B842" s="63">
        <f t="shared" si="67"/>
        <v>4</v>
      </c>
      <c r="C842" s="64">
        <v>42468</v>
      </c>
      <c r="D842" s="320" t="s">
        <v>682</v>
      </c>
      <c r="E842" s="64">
        <f t="shared" si="68"/>
        <v>42468</v>
      </c>
      <c r="F842" s="522" t="s">
        <v>402</v>
      </c>
      <c r="G842" s="995" t="s">
        <v>1425</v>
      </c>
      <c r="H842" s="7" t="s">
        <v>626</v>
      </c>
      <c r="I842" s="446">
        <v>1250</v>
      </c>
      <c r="J842" s="446">
        <v>18000</v>
      </c>
      <c r="K842" s="437"/>
      <c r="L842" s="446"/>
      <c r="M842" s="65">
        <f t="shared" si="69"/>
        <v>22500000</v>
      </c>
      <c r="N842" s="66" t="s">
        <v>277</v>
      </c>
      <c r="O842" s="66" t="s">
        <v>8</v>
      </c>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2" t="str">
        <f>IF(B843&lt;&gt;"",IF(AND(B843='IN-TC'!$S$4,OR(TH!N843="1111",TH!O843="1111")),TH!D843,""),"")</f>
        <v/>
      </c>
      <c r="B843" s="63">
        <f t="shared" si="67"/>
        <v>4</v>
      </c>
      <c r="C843" s="64">
        <v>42468</v>
      </c>
      <c r="D843" s="320" t="s">
        <v>682</v>
      </c>
      <c r="E843" s="64">
        <f t="shared" si="68"/>
        <v>42468</v>
      </c>
      <c r="F843" s="522" t="s">
        <v>1426</v>
      </c>
      <c r="G843" s="995" t="s">
        <v>1425</v>
      </c>
      <c r="H843" s="7" t="s">
        <v>626</v>
      </c>
      <c r="I843" s="446"/>
      <c r="J843" s="446"/>
      <c r="K843" s="437"/>
      <c r="L843" s="446"/>
      <c r="M843" s="65">
        <v>2250000</v>
      </c>
      <c r="N843" s="66" t="s">
        <v>9</v>
      </c>
      <c r="O843" s="66" t="s">
        <v>8</v>
      </c>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2" t="str">
        <f>IF(B844&lt;&gt;"",IF(AND(B844='IN-TC'!$S$4,OR(TH!N844="1111",TH!O844="1111")),TH!D844,""),"")</f>
        <v/>
      </c>
      <c r="B844" s="63">
        <f t="shared" si="67"/>
        <v>4</v>
      </c>
      <c r="C844" s="64">
        <v>42471</v>
      </c>
      <c r="D844" s="320" t="s">
        <v>683</v>
      </c>
      <c r="E844" s="64">
        <f t="shared" si="68"/>
        <v>42471</v>
      </c>
      <c r="F844" s="522" t="s">
        <v>1427</v>
      </c>
      <c r="G844" s="995" t="s">
        <v>1428</v>
      </c>
      <c r="H844" s="7" t="s">
        <v>1429</v>
      </c>
      <c r="I844" s="446">
        <v>100</v>
      </c>
      <c r="J844" s="446">
        <v>12728</v>
      </c>
      <c r="K844" s="437"/>
      <c r="L844" s="446"/>
      <c r="M844" s="65">
        <f t="shared" si="69"/>
        <v>1272800</v>
      </c>
      <c r="N844" s="66" t="s">
        <v>277</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 t="shared" si="67"/>
        <v>4</v>
      </c>
      <c r="C845" s="64">
        <v>42471</v>
      </c>
      <c r="D845" s="320" t="s">
        <v>683</v>
      </c>
      <c r="E845" s="64">
        <f t="shared" si="68"/>
        <v>42471</v>
      </c>
      <c r="F845" s="522" t="s">
        <v>1430</v>
      </c>
      <c r="G845" s="995" t="s">
        <v>1428</v>
      </c>
      <c r="H845" s="7" t="s">
        <v>1429</v>
      </c>
      <c r="I845" s="446"/>
      <c r="J845" s="446"/>
      <c r="K845" s="437"/>
      <c r="L845" s="446"/>
      <c r="M845" s="65">
        <v>127280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7"/>
        <v>4</v>
      </c>
      <c r="C846" s="64">
        <v>42471</v>
      </c>
      <c r="D846" s="320" t="s">
        <v>684</v>
      </c>
      <c r="E846" s="64">
        <f t="shared" si="68"/>
        <v>42471</v>
      </c>
      <c r="F846" s="522" t="s">
        <v>357</v>
      </c>
      <c r="G846" s="995" t="s">
        <v>1431</v>
      </c>
      <c r="H846" s="74" t="s">
        <v>629</v>
      </c>
      <c r="I846" s="446">
        <v>6750</v>
      </c>
      <c r="J846" s="446">
        <v>14728</v>
      </c>
      <c r="K846" s="437"/>
      <c r="L846" s="446"/>
      <c r="M846" s="65">
        <f t="shared" si="69"/>
        <v>99414000</v>
      </c>
      <c r="N846" s="66" t="s">
        <v>277</v>
      </c>
      <c r="O846" s="66" t="s">
        <v>8</v>
      </c>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7"/>
        <v>4</v>
      </c>
      <c r="C847" s="64">
        <v>42471</v>
      </c>
      <c r="D847" s="320" t="s">
        <v>684</v>
      </c>
      <c r="E847" s="64">
        <f t="shared" si="68"/>
        <v>42471</v>
      </c>
      <c r="F847" s="522" t="s">
        <v>1432</v>
      </c>
      <c r="G847" s="995" t="s">
        <v>1431</v>
      </c>
      <c r="H847" s="74" t="s">
        <v>629</v>
      </c>
      <c r="I847" s="446"/>
      <c r="J847" s="446"/>
      <c r="K847" s="437"/>
      <c r="L847" s="446"/>
      <c r="M847" s="65">
        <v>9941400</v>
      </c>
      <c r="N847" s="66" t="s">
        <v>9</v>
      </c>
      <c r="O847" s="66" t="s">
        <v>8</v>
      </c>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IF(C848&lt;&gt;"",MONTH(C848),"")</f>
        <v>4</v>
      </c>
      <c r="C848" s="64">
        <v>42486</v>
      </c>
      <c r="D848" s="64" t="s">
        <v>685</v>
      </c>
      <c r="E848" s="64">
        <f>C848</f>
        <v>42486</v>
      </c>
      <c r="F848" s="67" t="s">
        <v>656</v>
      </c>
      <c r="G848" s="995" t="s">
        <v>1440</v>
      </c>
      <c r="H848" s="74" t="s">
        <v>1441</v>
      </c>
      <c r="I848" s="446">
        <v>2000</v>
      </c>
      <c r="J848" s="446">
        <v>14000</v>
      </c>
      <c r="K848" s="437"/>
      <c r="L848" s="446"/>
      <c r="M848" s="65">
        <f>ROUND(I848*J848,0)</f>
        <v>28000000</v>
      </c>
      <c r="N848" s="323" t="s">
        <v>277</v>
      </c>
      <c r="O848" s="66" t="s">
        <v>8</v>
      </c>
      <c r="P848" s="66" t="str">
        <f>IF(AND('331-CT'!$E$7=TH!H848,OR(N848="331",O848="331")),"x","")</f>
        <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42486</v>
      </c>
      <c r="D849" s="64" t="s">
        <v>685</v>
      </c>
      <c r="E849" s="64">
        <f>C849</f>
        <v>42486</v>
      </c>
      <c r="F849" s="67" t="s">
        <v>657</v>
      </c>
      <c r="G849" s="995" t="s">
        <v>1440</v>
      </c>
      <c r="H849" s="74" t="s">
        <v>1441</v>
      </c>
      <c r="I849" s="446"/>
      <c r="J849" s="446"/>
      <c r="K849" s="437"/>
      <c r="L849" s="446"/>
      <c r="M849" s="65">
        <v>2800000</v>
      </c>
      <c r="N849" s="323" t="s">
        <v>9</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1459</v>
      </c>
      <c r="E850" s="64">
        <f>C850</f>
        <v>42488</v>
      </c>
      <c r="F850" s="67" t="s">
        <v>402</v>
      </c>
      <c r="G850" s="995" t="s">
        <v>1460</v>
      </c>
      <c r="H850" s="74" t="s">
        <v>626</v>
      </c>
      <c r="I850" s="446">
        <v>578</v>
      </c>
      <c r="J850" s="446">
        <v>18000</v>
      </c>
      <c r="K850" s="437"/>
      <c r="L850" s="446"/>
      <c r="M850" s="65">
        <f>ROUND(I850*J850,0)</f>
        <v>10404000</v>
      </c>
      <c r="N850" s="323" t="s">
        <v>277</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t="str">
        <f>IF(B851&lt;&gt;"",IF(AND(B851='IN-TC'!$S$4,OR(TH!N851="1111",TH!O851="1111")),TH!D851,""),"")</f>
        <v/>
      </c>
      <c r="B851" s="63">
        <f>IF(C851&lt;&gt;"",MONTH(C851),"")</f>
        <v>4</v>
      </c>
      <c r="C851" s="64">
        <v>42488</v>
      </c>
      <c r="D851" s="64" t="s">
        <v>1459</v>
      </c>
      <c r="E851" s="64">
        <f>C851</f>
        <v>42488</v>
      </c>
      <c r="F851" s="67" t="s">
        <v>1426</v>
      </c>
      <c r="G851" s="995" t="s">
        <v>1460</v>
      </c>
      <c r="H851" s="74" t="s">
        <v>626</v>
      </c>
      <c r="I851" s="446"/>
      <c r="J851" s="446"/>
      <c r="K851" s="437"/>
      <c r="L851" s="446"/>
      <c r="M851" s="65">
        <v>1040400</v>
      </c>
      <c r="N851" s="323" t="s">
        <v>9</v>
      </c>
      <c r="O851" s="66" t="s">
        <v>8</v>
      </c>
      <c r="P851" s="66" t="str">
        <f>IF(AND('331-CT'!$E$7=TH!H851,OR(N851="331",O851="331")),"x","")</f>
        <v/>
      </c>
      <c r="Q851" s="66" t="str">
        <f>IF(AND(B851='111'!$L$11,OR($N851=$Q$7,$O851=$Q$7)),"x","")</f>
        <v/>
      </c>
      <c r="R851" s="66" t="str">
        <f>IF(AND($N851=$Q$7,$B851&lt;'111'!$L$11),"x","")</f>
        <v/>
      </c>
      <c r="S851" s="66" t="str">
        <f>IF(AND($O851=$Q$7,$B851&lt;'111'!$L$11),"x","")</f>
        <v/>
      </c>
      <c r="T851" s="66" t="str">
        <f>IF(ISERROR(FIND('112'!$M$9,G851,1)),"",IF((AND(FIND('112'!$M$9,G851,1)&gt;=1,B851='112'!$K$9,OR($N851='112'!$I$6,$O851='112'!$I$6))),"x",""))</f>
        <v/>
      </c>
      <c r="U851" s="66" t="str">
        <f>IF(ISERROR(FIND('112'!$M$9,G851,1)),"",IF((AND(LEFT(G851,2)=LEFT('112'!$M$9,2),B851&lt;'112'!$K$9,$N851='112'!$I$6)),"x",""))</f>
        <v/>
      </c>
      <c r="V851" s="66" t="str">
        <f>IF(ISERROR(FIND('112'!$M$9,G851,1)),"",IF((AND(RIGHT(G851,2)=RIGHT('112'!$M$9,2),B851&lt;'112'!$K$9,$O851='112'!$I$6)),"x",""))</f>
        <v/>
      </c>
      <c r="W851" s="66" t="str">
        <f>IF(AND('341-CT'!$H$9=H851,OR(LEFT(N851,3)=$W$7,LEFT(O851,3)=$W$7)),"x","")</f>
        <v/>
      </c>
      <c r="X851" s="66" t="str">
        <f>IF(OR(TH!N851=TH!$X$7,O851=TH!$X$7),"x","")</f>
        <v/>
      </c>
      <c r="Y851" s="66" t="str">
        <f>IF(AND(OR(N851="131",O851="131"),H851='131-CT'!$H$9),"x","")</f>
        <v/>
      </c>
      <c r="Z851" s="66"/>
      <c r="AA851" s="66" t="str">
        <f>IF(AND(MONTH(E851)='IN-NX'!$J$5,'IN-NX'!$D$7=D851),"x","")</f>
        <v/>
      </c>
      <c r="AB851" s="66" t="str">
        <f>IF(AND(OR(LEFT(TH!N851,2)="15",LEFT(TH!O851,2)="15"),'152-CT'!$J$8=TH!F851),"x","")</f>
        <v/>
      </c>
      <c r="AC851" s="66" t="str">
        <f>IF(AND(OR(LEFT(TH!N851,2)="15",LEFT(TH!O851,2)="15"),TK!$E$7=TH!F851),"x","")</f>
        <v/>
      </c>
      <c r="AD851" s="66" t="str">
        <f>IF(AND(N851="1521",MONTH(C851)='BK-NL'!$M$11),"x","")</f>
        <v/>
      </c>
    </row>
    <row r="852" spans="1:30" ht="15.75" customHeight="1">
      <c r="A852" s="342" t="str">
        <f>IF(B852&lt;&gt;"",IF(AND(B852='IN-TC'!$S$4,OR(TH!N852="1111",TH!O852="1111")),TH!D852,""),"")</f>
        <v/>
      </c>
      <c r="B852" s="63">
        <f t="shared" si="64"/>
        <v>4</v>
      </c>
      <c r="C852" s="64">
        <v>42466</v>
      </c>
      <c r="D852" s="64" t="s">
        <v>585</v>
      </c>
      <c r="E852" s="64">
        <f t="shared" si="68"/>
        <v>42466</v>
      </c>
      <c r="F852" s="67" t="s">
        <v>642</v>
      </c>
      <c r="G852" s="995" t="s">
        <v>1434</v>
      </c>
      <c r="H852" s="74" t="s">
        <v>633</v>
      </c>
      <c r="I852" s="446"/>
      <c r="J852" s="446"/>
      <c r="K852" s="437"/>
      <c r="L852" s="446"/>
      <c r="M852" s="65">
        <v>2000000</v>
      </c>
      <c r="N852" s="66" t="s">
        <v>594</v>
      </c>
      <c r="O852" s="66" t="s">
        <v>8</v>
      </c>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2" t="str">
        <f>IF(B853&lt;&gt;"",IF(AND(B853='IN-TC'!$S$4,OR(TH!N853="1111",TH!O853="1111")),TH!D853,""),"")</f>
        <v/>
      </c>
      <c r="B853" s="63">
        <f>IF(C853&lt;&gt;"",MONTH(C853),"")</f>
        <v>4</v>
      </c>
      <c r="C853" s="64">
        <v>42466</v>
      </c>
      <c r="D853" s="64" t="s">
        <v>585</v>
      </c>
      <c r="E853" s="64">
        <f t="shared" si="68"/>
        <v>42466</v>
      </c>
      <c r="F853" s="67" t="s">
        <v>643</v>
      </c>
      <c r="G853" s="995" t="s">
        <v>1434</v>
      </c>
      <c r="H853" s="74" t="s">
        <v>633</v>
      </c>
      <c r="I853" s="446"/>
      <c r="J853" s="446"/>
      <c r="K853" s="437"/>
      <c r="L853" s="446"/>
      <c r="M853" s="65">
        <v>200000</v>
      </c>
      <c r="N853" s="66" t="s">
        <v>9</v>
      </c>
      <c r="O853" s="66" t="s">
        <v>8</v>
      </c>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2" t="str">
        <f>IF(B854&lt;&gt;"",IF(AND(B854='IN-TC'!$S$4,OR(TH!N854="1111",TH!O854="1111")),TH!D854,""),"")</f>
        <v/>
      </c>
      <c r="B854" s="63">
        <f t="shared" si="64"/>
        <v>4</v>
      </c>
      <c r="C854" s="64">
        <v>42475</v>
      </c>
      <c r="D854" s="64" t="s">
        <v>585</v>
      </c>
      <c r="E854" s="64">
        <f t="shared" si="68"/>
        <v>42475</v>
      </c>
      <c r="F854" s="67" t="s">
        <v>638</v>
      </c>
      <c r="G854" s="995" t="s">
        <v>1435</v>
      </c>
      <c r="H854" s="74" t="s">
        <v>634</v>
      </c>
      <c r="I854" s="446"/>
      <c r="J854" s="446"/>
      <c r="K854" s="437"/>
      <c r="L854" s="446"/>
      <c r="M854" s="65">
        <v>11856100</v>
      </c>
      <c r="N854" s="66" t="s">
        <v>594</v>
      </c>
      <c r="O854" s="66" t="s">
        <v>8</v>
      </c>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4"/>
        <v>4</v>
      </c>
      <c r="C855" s="64">
        <v>42475</v>
      </c>
      <c r="D855" s="64" t="s">
        <v>585</v>
      </c>
      <c r="E855" s="64">
        <f t="shared" si="68"/>
        <v>42475</v>
      </c>
      <c r="F855" s="67" t="s">
        <v>1092</v>
      </c>
      <c r="G855" s="995" t="s">
        <v>1436</v>
      </c>
      <c r="H855" s="74" t="s">
        <v>634</v>
      </c>
      <c r="I855" s="446"/>
      <c r="J855" s="446"/>
      <c r="K855" s="437"/>
      <c r="L855" s="446"/>
      <c r="M855" s="65">
        <v>6218860</v>
      </c>
      <c r="N855" s="66" t="s">
        <v>594</v>
      </c>
      <c r="O855" s="66" t="s">
        <v>8</v>
      </c>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s="357" customFormat="1" ht="15.75" customHeight="1">
      <c r="A856" s="342" t="str">
        <f>IF(B856&lt;&gt;"",IF(AND(B856='IN-TC'!$S$4,OR(TH!N856="1111",TH!O856="1111")),TH!D856,""),"")</f>
        <v/>
      </c>
      <c r="B856" s="63">
        <f t="shared" si="64"/>
        <v>4</v>
      </c>
      <c r="C856" s="64">
        <v>42475</v>
      </c>
      <c r="D856" s="64" t="s">
        <v>585</v>
      </c>
      <c r="E856" s="64">
        <f t="shared" si="68"/>
        <v>42475</v>
      </c>
      <c r="F856" s="67" t="s">
        <v>1093</v>
      </c>
      <c r="G856" s="995" t="s">
        <v>1436</v>
      </c>
      <c r="H856" s="74" t="s">
        <v>634</v>
      </c>
      <c r="I856" s="446"/>
      <c r="J856" s="446"/>
      <c r="K856" s="437"/>
      <c r="L856" s="446"/>
      <c r="M856" s="65">
        <v>621886</v>
      </c>
      <c r="N856" s="323" t="s">
        <v>9</v>
      </c>
      <c r="O856" s="66" t="s">
        <v>8</v>
      </c>
      <c r="P856" s="66" t="str">
        <f>IF(AND('331-CT'!$E$7=TH!H856,OR(N856="331",O856="331")),"x","")</f>
        <v/>
      </c>
      <c r="Q856" s="66" t="str">
        <f>IF(AND(B856='111'!$L$11,OR($N856=$Q$7,$O856=$Q$7)),"x","")</f>
        <v/>
      </c>
      <c r="R856" s="66" t="str">
        <f>IF(AND($N856=$Q$7,$B856&lt;'111'!$L$11),"x","")</f>
        <v/>
      </c>
      <c r="S856" s="66" t="str">
        <f>IF(AND($O856=$Q$7,$B856&lt;'111'!$L$11),"x","")</f>
        <v/>
      </c>
      <c r="T856" s="66" t="str">
        <f>IF(ISERROR(FIND('112'!$M$9,G856,1)),"",IF((AND(FIND('112'!$M$9,G856,1)&gt;=1,B856='112'!$K$9,OR($N856='112'!$I$6,$O856='112'!$I$6))),"x",""))</f>
        <v/>
      </c>
      <c r="U856" s="66" t="str">
        <f>IF(ISERROR(FIND('112'!$M$9,G856,1)),"",IF((AND(LEFT(G856,2)=LEFT('112'!$M$9,2),B856&lt;'112'!$K$9,$N856='112'!$I$6)),"x",""))</f>
        <v/>
      </c>
      <c r="V856" s="66" t="str">
        <f>IF(ISERROR(FIND('112'!$M$9,G856,1)),"",IF((AND(RIGHT(G856,2)=RIGHT('112'!$M$9,2),B856&lt;'112'!$K$9,$O856='112'!$I$6)),"x",""))</f>
        <v/>
      </c>
      <c r="W856" s="66" t="str">
        <f>IF(AND('341-CT'!$H$9=H856,OR(LEFT(N856,3)=$W$7,LEFT(O856,3)=$W$7)),"x","")</f>
        <v/>
      </c>
      <c r="X856" s="66" t="str">
        <f>IF(OR(TH!N856=TH!$X$7,O856=TH!$X$7),"x","")</f>
        <v/>
      </c>
      <c r="Y856" s="66" t="str">
        <f>IF(AND(OR(N856="131",O856="131"),H856='131-CT'!$H$9),"x","")</f>
        <v/>
      </c>
      <c r="Z856" s="66"/>
      <c r="AA856" s="66" t="str">
        <f>IF(AND(MONTH(E856)='IN-NX'!$J$5,'IN-NX'!$D$7=D856),"x","")</f>
        <v/>
      </c>
      <c r="AB856" s="66" t="str">
        <f>IF(AND(OR(LEFT(TH!N856,2)="15",LEFT(TH!O856,2)="15"),'152-CT'!$J$8=TH!F856),"x","")</f>
        <v/>
      </c>
      <c r="AC856" s="66" t="str">
        <f>IF(AND(OR(LEFT(TH!N856,2)="15",LEFT(TH!O856,2)="15"),TK!$E$7=TH!F856),"x","")</f>
        <v/>
      </c>
      <c r="AD856" s="66" t="str">
        <f>IF(AND(N856="1521",MONTH(C856)='BK-NL'!$M$11),"x","")</f>
        <v/>
      </c>
    </row>
    <row r="857" spans="1:30" s="357" customFormat="1" ht="15.75" customHeight="1">
      <c r="A857" s="342" t="str">
        <f>IF(B857&lt;&gt;"",IF(AND(B857='IN-TC'!$S$4,OR(TH!N857="1111",TH!O857="1111")),TH!D857,""),"")</f>
        <v/>
      </c>
      <c r="B857" s="63">
        <f>IF(C857&lt;&gt;"",MONTH(C857),"")</f>
        <v>4</v>
      </c>
      <c r="C857" s="64">
        <v>42488</v>
      </c>
      <c r="D857" s="64" t="s">
        <v>585</v>
      </c>
      <c r="E857" s="64">
        <f>C857</f>
        <v>42488</v>
      </c>
      <c r="F857" s="67" t="s">
        <v>1449</v>
      </c>
      <c r="G857" s="995" t="s">
        <v>1451</v>
      </c>
      <c r="H857" s="74" t="s">
        <v>1452</v>
      </c>
      <c r="I857" s="446"/>
      <c r="J857" s="446"/>
      <c r="K857" s="437"/>
      <c r="L857" s="446"/>
      <c r="M857" s="65">
        <v>7200000</v>
      </c>
      <c r="N857" s="323" t="s">
        <v>101</v>
      </c>
      <c r="O857" s="66" t="s">
        <v>8</v>
      </c>
      <c r="P857" s="66" t="str">
        <f>IF(AND('331-CT'!$E$7=TH!H857,OR(N857="331",O857="331")),"x","")</f>
        <v/>
      </c>
      <c r="Q857" s="66" t="str">
        <f>IF(AND(B857='111'!$L$11,OR($N857=$Q$7,$O857=$Q$7)),"x","")</f>
        <v/>
      </c>
      <c r="R857" s="66" t="str">
        <f>IF(AND($N857=$Q$7,$B857&lt;'111'!$L$11),"x","")</f>
        <v/>
      </c>
      <c r="S857" s="66" t="str">
        <f>IF(AND($O857=$Q$7,$B857&lt;'111'!$L$11),"x","")</f>
        <v/>
      </c>
      <c r="T857" s="66" t="str">
        <f>IF(ISERROR(FIND('112'!$M$9,G857,1)),"",IF((AND(FIND('112'!$M$9,G857,1)&gt;=1,B857='112'!$K$9,OR($N857='112'!$I$6,$O857='112'!$I$6))),"x",""))</f>
        <v/>
      </c>
      <c r="U857" s="66" t="str">
        <f>IF(ISERROR(FIND('112'!$M$9,G857,1)),"",IF((AND(LEFT(G857,2)=LEFT('112'!$M$9,2),B857&lt;'112'!$K$9,$N857='112'!$I$6)),"x",""))</f>
        <v/>
      </c>
      <c r="V857" s="66" t="str">
        <f>IF(ISERROR(FIND('112'!$M$9,G857,1)),"",IF((AND(RIGHT(G857,2)=RIGHT('112'!$M$9,2),B857&lt;'112'!$K$9,$O857='112'!$I$6)),"x",""))</f>
        <v/>
      </c>
      <c r="W857" s="66" t="str">
        <f>IF(AND('341-CT'!$H$9=H857,OR(LEFT(N857,3)=$W$7,LEFT(O857,3)=$W$7)),"x","")</f>
        <v/>
      </c>
      <c r="X857" s="66" t="str">
        <f>IF(OR(TH!N857=TH!$X$7,O857=TH!$X$7),"x","")</f>
        <v/>
      </c>
      <c r="Y857" s="66" t="str">
        <f>IF(AND(OR(N857="131",O857="131"),H857='131-CT'!$H$9),"x","")</f>
        <v/>
      </c>
      <c r="Z857" s="66"/>
      <c r="AA857" s="66" t="str">
        <f>IF(AND(MONTH(E857)='IN-NX'!$J$5,'IN-NX'!$D$7=D857),"x","")</f>
        <v/>
      </c>
      <c r="AB857" s="66" t="str">
        <f>IF(AND(OR(LEFT(TH!N857,2)="15",LEFT(TH!O857,2)="15"),'152-CT'!$J$8=TH!F857),"x","")</f>
        <v/>
      </c>
      <c r="AC857" s="66" t="str">
        <f>IF(AND(OR(LEFT(TH!N857,2)="15",LEFT(TH!O857,2)="15"),TK!$E$7=TH!F857),"x","")</f>
        <v/>
      </c>
      <c r="AD857" s="66" t="str">
        <f>IF(AND(N857="1521",MONTH(C857)='BK-NL'!$M$11),"x","")</f>
        <v/>
      </c>
    </row>
    <row r="858" spans="1:30" s="357" customFormat="1" ht="15.75" customHeight="1">
      <c r="A858" s="342" t="str">
        <f>IF(B858&lt;&gt;"",IF(AND(B858='IN-TC'!$S$4,OR(TH!N858="1111",TH!O858="1111")),TH!D858,""),"")</f>
        <v/>
      </c>
      <c r="B858" s="63">
        <f>IF(C858&lt;&gt;"",MONTH(C858),"")</f>
        <v>4</v>
      </c>
      <c r="C858" s="64">
        <v>42488</v>
      </c>
      <c r="D858" s="64" t="s">
        <v>585</v>
      </c>
      <c r="E858" s="64">
        <f>C858</f>
        <v>42488</v>
      </c>
      <c r="F858" s="67" t="s">
        <v>1450</v>
      </c>
      <c r="G858" s="995" t="s">
        <v>1451</v>
      </c>
      <c r="H858" s="74" t="s">
        <v>1452</v>
      </c>
      <c r="I858" s="446"/>
      <c r="J858" s="446"/>
      <c r="K858" s="437"/>
      <c r="L858" s="446"/>
      <c r="M858" s="65">
        <v>720000</v>
      </c>
      <c r="N858" s="323" t="s">
        <v>9</v>
      </c>
      <c r="O858" s="66" t="s">
        <v>8</v>
      </c>
      <c r="P858" s="66" t="str">
        <f>IF(AND('331-CT'!$E$7=TH!H858,OR(N858="331",O858="331")),"x","")</f>
        <v/>
      </c>
      <c r="Q858" s="66" t="str">
        <f>IF(AND(B858='111'!$L$11,OR($N858=$Q$7,$O858=$Q$7)),"x","")</f>
        <v/>
      </c>
      <c r="R858" s="66" t="str">
        <f>IF(AND($N858=$Q$7,$B858&lt;'111'!$L$11),"x","")</f>
        <v/>
      </c>
      <c r="S858" s="66" t="str">
        <f>IF(AND($O858=$Q$7,$B858&lt;'111'!$L$11),"x","")</f>
        <v/>
      </c>
      <c r="T858" s="66" t="str">
        <f>IF(ISERROR(FIND('112'!$M$9,G858,1)),"",IF((AND(FIND('112'!$M$9,G858,1)&gt;=1,B858='112'!$K$9,OR($N858='112'!$I$6,$O858='112'!$I$6))),"x",""))</f>
        <v/>
      </c>
      <c r="U858" s="66" t="str">
        <f>IF(ISERROR(FIND('112'!$M$9,G858,1)),"",IF((AND(LEFT(G858,2)=LEFT('112'!$M$9,2),B858&lt;'112'!$K$9,$N858='112'!$I$6)),"x",""))</f>
        <v/>
      </c>
      <c r="V858" s="66" t="str">
        <f>IF(ISERROR(FIND('112'!$M$9,G858,1)),"",IF((AND(RIGHT(G858,2)=RIGHT('112'!$M$9,2),B858&lt;'112'!$K$9,$O858='112'!$I$6)),"x",""))</f>
        <v/>
      </c>
      <c r="W858" s="66" t="str">
        <f>IF(AND('341-CT'!$H$9=H858,OR(LEFT(N858,3)=$W$7,LEFT(O858,3)=$W$7)),"x","")</f>
        <v/>
      </c>
      <c r="X858" s="66" t="str">
        <f>IF(OR(TH!N858=TH!$X$7,O858=TH!$X$7),"x","")</f>
        <v/>
      </c>
      <c r="Y858" s="66" t="str">
        <f>IF(AND(OR(N858="131",O858="131"),H858='131-CT'!$H$9),"x","")</f>
        <v/>
      </c>
      <c r="Z858" s="66"/>
      <c r="AA858" s="66" t="str">
        <f>IF(AND(MONTH(E858)='IN-NX'!$J$5,'IN-NX'!$D$7=D858),"x","")</f>
        <v/>
      </c>
      <c r="AB858" s="66" t="str">
        <f>IF(AND(OR(LEFT(TH!N858,2)="15",LEFT(TH!O858,2)="15"),'152-CT'!$J$8=TH!F858),"x","")</f>
        <v/>
      </c>
      <c r="AC858" s="66" t="str">
        <f>IF(AND(OR(LEFT(TH!N858,2)="15",LEFT(TH!O858,2)="15"),TK!$E$7=TH!F858),"x","")</f>
        <v/>
      </c>
      <c r="AD858" s="66" t="str">
        <f>IF(AND(N858="1521",MONTH(C858)='BK-NL'!$M$11),"x","")</f>
        <v/>
      </c>
    </row>
    <row r="859" spans="1:30" s="357" customFormat="1" ht="15.75" customHeight="1">
      <c r="A859" s="342"/>
      <c r="B859" s="63">
        <f t="shared" ref="B859:B869" si="70">IF(C859&lt;&gt;"",MONTH(C859),"")</f>
        <v>4</v>
      </c>
      <c r="C859" s="64">
        <v>42485</v>
      </c>
      <c r="D859" s="64" t="s">
        <v>585</v>
      </c>
      <c r="E859" s="64">
        <f>C859</f>
        <v>42485</v>
      </c>
      <c r="F859" s="67" t="s">
        <v>641</v>
      </c>
      <c r="G859" s="995" t="s">
        <v>1479</v>
      </c>
      <c r="H859" s="74" t="s">
        <v>632</v>
      </c>
      <c r="I859" s="446"/>
      <c r="J859" s="446"/>
      <c r="K859" s="437"/>
      <c r="L859" s="446"/>
      <c r="M859" s="65">
        <v>1095000</v>
      </c>
      <c r="N859" s="323" t="s">
        <v>594</v>
      </c>
      <c r="O859" s="66" t="s">
        <v>8</v>
      </c>
      <c r="P859" s="66"/>
      <c r="Q859" s="66"/>
      <c r="R859" s="66"/>
      <c r="S859" s="66"/>
      <c r="T859" s="66"/>
      <c r="U859" s="66"/>
      <c r="V859" s="66"/>
      <c r="W859" s="66"/>
      <c r="X859" s="66"/>
      <c r="Y859" s="66"/>
      <c r="Z859" s="66"/>
      <c r="AA859" s="66"/>
      <c r="AB859" s="66"/>
      <c r="AC859" s="66"/>
      <c r="AD859" s="66"/>
    </row>
    <row r="860" spans="1:30" s="357" customFormat="1" ht="15.75" customHeight="1">
      <c r="A860" s="342"/>
      <c r="B860" s="63">
        <f t="shared" si="70"/>
        <v>4</v>
      </c>
      <c r="C860" s="64">
        <v>42485</v>
      </c>
      <c r="D860" s="64" t="s">
        <v>585</v>
      </c>
      <c r="E860" s="64">
        <f>C860</f>
        <v>42485</v>
      </c>
      <c r="F860" s="67" t="s">
        <v>641</v>
      </c>
      <c r="G860" s="995" t="s">
        <v>1480</v>
      </c>
      <c r="H860" s="74" t="s">
        <v>632</v>
      </c>
      <c r="I860" s="446"/>
      <c r="J860" s="446"/>
      <c r="K860" s="437"/>
      <c r="L860" s="446"/>
      <c r="M860" s="65">
        <v>780000</v>
      </c>
      <c r="N860" s="323" t="s">
        <v>594</v>
      </c>
      <c r="O860" s="66" t="s">
        <v>8</v>
      </c>
      <c r="P860" s="66"/>
      <c r="Q860" s="66"/>
      <c r="R860" s="66"/>
      <c r="S860" s="66"/>
      <c r="T860" s="66"/>
      <c r="U860" s="66"/>
      <c r="V860" s="66"/>
      <c r="W860" s="66"/>
      <c r="X860" s="66"/>
      <c r="Y860" s="66"/>
      <c r="Z860" s="66"/>
      <c r="AA860" s="66"/>
      <c r="AB860" s="66"/>
      <c r="AC860" s="66"/>
      <c r="AD860" s="66"/>
    </row>
    <row r="861" spans="1:30" s="357" customFormat="1" ht="15.75" customHeight="1">
      <c r="A861" s="342"/>
      <c r="B861" s="63">
        <f t="shared" si="70"/>
        <v>4</v>
      </c>
      <c r="C861" s="64">
        <v>42482</v>
      </c>
      <c r="D861" s="64" t="s">
        <v>585</v>
      </c>
      <c r="E861" s="64">
        <f>C861</f>
        <v>42482</v>
      </c>
      <c r="F861" s="67" t="s">
        <v>641</v>
      </c>
      <c r="G861" s="995" t="s">
        <v>1481</v>
      </c>
      <c r="H861" s="74" t="s">
        <v>632</v>
      </c>
      <c r="I861" s="446"/>
      <c r="J861" s="446"/>
      <c r="K861" s="437"/>
      <c r="L861" s="446"/>
      <c r="M861" s="65">
        <v>1110000</v>
      </c>
      <c r="N861" s="323" t="s">
        <v>594</v>
      </c>
      <c r="O861" s="66" t="s">
        <v>8</v>
      </c>
      <c r="P861" s="66"/>
      <c r="Q861" s="66"/>
      <c r="R861" s="66"/>
      <c r="S861" s="66"/>
      <c r="T861" s="66"/>
      <c r="U861" s="66"/>
      <c r="V861" s="66"/>
      <c r="W861" s="66"/>
      <c r="X861" s="66"/>
      <c r="Y861" s="66"/>
      <c r="Z861" s="66"/>
      <c r="AA861" s="66"/>
      <c r="AB861" s="66"/>
      <c r="AC861" s="66"/>
      <c r="AD861" s="66"/>
    </row>
    <row r="862" spans="1:30" ht="15.75" customHeight="1">
      <c r="A862" s="342" t="str">
        <f>IF(B862&lt;&gt;"",IF(AND(B862='IN-TC'!$S$4,OR(TH!N862="1111",TH!O862="1111")),TH!D862,""),"")</f>
        <v/>
      </c>
      <c r="B862" s="63">
        <f t="shared" si="70"/>
        <v>4</v>
      </c>
      <c r="C862" s="320">
        <v>42489</v>
      </c>
      <c r="D862" s="320" t="s">
        <v>585</v>
      </c>
      <c r="E862" s="320">
        <v>42466</v>
      </c>
      <c r="F862" s="321" t="s">
        <v>1482</v>
      </c>
      <c r="G862" s="999" t="s">
        <v>1488</v>
      </c>
      <c r="H862" s="322" t="s">
        <v>635</v>
      </c>
      <c r="I862" s="446"/>
      <c r="J862" s="446"/>
      <c r="K862" s="437"/>
      <c r="L862" s="446"/>
      <c r="M862" s="65">
        <v>23841200</v>
      </c>
      <c r="N862" s="323" t="s">
        <v>283</v>
      </c>
      <c r="O862" s="323" t="s">
        <v>8</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70"/>
        <v>4</v>
      </c>
      <c r="C863" s="320">
        <v>42489</v>
      </c>
      <c r="D863" s="320" t="s">
        <v>585</v>
      </c>
      <c r="E863" s="320">
        <v>42466</v>
      </c>
      <c r="F863" s="321" t="s">
        <v>1483</v>
      </c>
      <c r="G863" s="999" t="s">
        <v>1488</v>
      </c>
      <c r="H863" s="322" t="s">
        <v>635</v>
      </c>
      <c r="I863" s="446"/>
      <c r="J863" s="446"/>
      <c r="K863" s="437"/>
      <c r="L863" s="446"/>
      <c r="M863" s="65">
        <v>2384120</v>
      </c>
      <c r="N863" s="323" t="s">
        <v>9</v>
      </c>
      <c r="O863" s="323" t="s">
        <v>8</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c r="B864" s="63">
        <f t="shared" si="70"/>
        <v>4</v>
      </c>
      <c r="C864" s="320">
        <v>42489</v>
      </c>
      <c r="D864" s="320" t="s">
        <v>585</v>
      </c>
      <c r="E864" s="320">
        <v>42476</v>
      </c>
      <c r="F864" s="321" t="s">
        <v>1484</v>
      </c>
      <c r="G864" s="999" t="s">
        <v>1489</v>
      </c>
      <c r="H864" s="322" t="s">
        <v>635</v>
      </c>
      <c r="I864" s="446"/>
      <c r="J864" s="446"/>
      <c r="K864" s="437"/>
      <c r="L864" s="446"/>
      <c r="M864" s="65">
        <v>28369800</v>
      </c>
      <c r="N864" s="323" t="s">
        <v>283</v>
      </c>
      <c r="O864" s="323" t="s">
        <v>8</v>
      </c>
      <c r="P864" s="85"/>
      <c r="Q864" s="85"/>
      <c r="R864" s="85"/>
      <c r="S864" s="85"/>
      <c r="T864" s="85"/>
      <c r="U864" s="85"/>
      <c r="V864" s="85"/>
      <c r="W864" s="85"/>
      <c r="X864" s="85"/>
      <c r="Y864" s="85"/>
      <c r="Z864" s="85"/>
      <c r="AA864" s="85"/>
      <c r="AB864" s="85"/>
      <c r="AC864" s="85"/>
      <c r="AD864" s="85"/>
    </row>
    <row r="865" spans="1:30" ht="15.75" customHeight="1">
      <c r="A865" s="342"/>
      <c r="B865" s="63">
        <f t="shared" si="70"/>
        <v>4</v>
      </c>
      <c r="C865" s="320">
        <v>42489</v>
      </c>
      <c r="D865" s="320" t="s">
        <v>585</v>
      </c>
      <c r="E865" s="320">
        <v>42476</v>
      </c>
      <c r="F865" s="321" t="s">
        <v>1485</v>
      </c>
      <c r="G865" s="999" t="s">
        <v>1489</v>
      </c>
      <c r="H865" s="322" t="s">
        <v>635</v>
      </c>
      <c r="I865" s="446"/>
      <c r="J865" s="446"/>
      <c r="K865" s="437"/>
      <c r="L865" s="446"/>
      <c r="M865" s="65">
        <v>2836980</v>
      </c>
      <c r="N865" s="323" t="s">
        <v>9</v>
      </c>
      <c r="O865" s="323" t="s">
        <v>8</v>
      </c>
      <c r="P865" s="85"/>
      <c r="Q865" s="85"/>
      <c r="R865" s="85"/>
      <c r="S865" s="85"/>
      <c r="T865" s="85"/>
      <c r="U865" s="85"/>
      <c r="V865" s="85"/>
      <c r="W865" s="85"/>
      <c r="X865" s="85"/>
      <c r="Y865" s="85"/>
      <c r="Z865" s="85"/>
      <c r="AA865" s="85"/>
      <c r="AB865" s="85"/>
      <c r="AC865" s="85"/>
      <c r="AD865" s="85"/>
    </row>
    <row r="866" spans="1:30" ht="15.75" customHeight="1">
      <c r="A866" s="342"/>
      <c r="B866" s="63">
        <f t="shared" si="70"/>
        <v>4</v>
      </c>
      <c r="C866" s="320">
        <v>42489</v>
      </c>
      <c r="D866" s="320" t="s">
        <v>585</v>
      </c>
      <c r="E866" s="320">
        <v>42486</v>
      </c>
      <c r="F866" s="321" t="s">
        <v>1486</v>
      </c>
      <c r="G866" s="999" t="s">
        <v>1513</v>
      </c>
      <c r="H866" s="322" t="s">
        <v>635</v>
      </c>
      <c r="I866" s="446"/>
      <c r="J866" s="446"/>
      <c r="K866" s="437"/>
      <c r="L866" s="446"/>
      <c r="M866" s="65">
        <v>24348800</v>
      </c>
      <c r="N866" s="323" t="s">
        <v>283</v>
      </c>
      <c r="O866" s="323" t="s">
        <v>8</v>
      </c>
      <c r="P866" s="85"/>
      <c r="Q866" s="85"/>
      <c r="R866" s="85"/>
      <c r="S866" s="85"/>
      <c r="T866" s="85"/>
      <c r="U866" s="85"/>
      <c r="V866" s="85"/>
      <c r="W866" s="85"/>
      <c r="X866" s="85"/>
      <c r="Y866" s="85"/>
      <c r="Z866" s="85"/>
      <c r="AA866" s="85"/>
      <c r="AB866" s="85"/>
      <c r="AC866" s="85"/>
      <c r="AD866" s="85"/>
    </row>
    <row r="867" spans="1:30" ht="15.75" customHeight="1">
      <c r="A867" s="342"/>
      <c r="B867" s="63">
        <f t="shared" si="70"/>
        <v>4</v>
      </c>
      <c r="C867" s="320">
        <v>42489</v>
      </c>
      <c r="D867" s="320" t="s">
        <v>585</v>
      </c>
      <c r="E867" s="320">
        <v>42486</v>
      </c>
      <c r="F867" s="321" t="s">
        <v>1487</v>
      </c>
      <c r="G867" s="999" t="s">
        <v>1513</v>
      </c>
      <c r="H867" s="322" t="s">
        <v>635</v>
      </c>
      <c r="I867" s="446"/>
      <c r="J867" s="446"/>
      <c r="K867" s="437"/>
      <c r="L867" s="446"/>
      <c r="M867" s="65">
        <v>2434880</v>
      </c>
      <c r="N867" s="323" t="s">
        <v>9</v>
      </c>
      <c r="O867" s="323" t="s">
        <v>8</v>
      </c>
      <c r="P867" s="85"/>
      <c r="Q867" s="85"/>
      <c r="R867" s="85"/>
      <c r="S867" s="85"/>
      <c r="T867" s="85"/>
      <c r="U867" s="85"/>
      <c r="V867" s="85"/>
      <c r="W867" s="85"/>
      <c r="X867" s="85"/>
      <c r="Y867" s="85"/>
      <c r="Z867" s="85"/>
      <c r="AA867" s="85"/>
      <c r="AB867" s="85"/>
      <c r="AC867" s="85"/>
      <c r="AD867" s="85"/>
    </row>
    <row r="868" spans="1:30" ht="15.75" customHeight="1">
      <c r="A868" s="342" t="str">
        <f>IF(B868&lt;&gt;"",IF(AND(B868='IN-TC'!$S$4,OR(TH!N868="1111",TH!O868="1111")),TH!D868,""),"")</f>
        <v/>
      </c>
      <c r="B868" s="63">
        <f t="shared" si="70"/>
        <v>4</v>
      </c>
      <c r="C868" s="64">
        <f>E868</f>
        <v>42468</v>
      </c>
      <c r="D868" s="64" t="s">
        <v>708</v>
      </c>
      <c r="E868" s="64">
        <v>42468</v>
      </c>
      <c r="F868" s="67" t="s">
        <v>1461</v>
      </c>
      <c r="G868" s="995" t="s">
        <v>929</v>
      </c>
      <c r="H868" s="74"/>
      <c r="I868" s="446"/>
      <c r="J868" s="446"/>
      <c r="K868" s="437">
        <v>5</v>
      </c>
      <c r="L868" s="446">
        <v>22260</v>
      </c>
      <c r="M868" s="65">
        <f>ROUND(K868*L868,0)</f>
        <v>111300</v>
      </c>
      <c r="N868" s="66" t="s">
        <v>101</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70"/>
        <v>4</v>
      </c>
      <c r="C869" s="64">
        <f t="shared" ref="C869:C877" si="71">E869</f>
        <v>42468</v>
      </c>
      <c r="D869" s="64" t="s">
        <v>708</v>
      </c>
      <c r="E869" s="64">
        <v>42468</v>
      </c>
      <c r="F869" s="67" t="s">
        <v>1462</v>
      </c>
      <c r="G869" s="995" t="s">
        <v>929</v>
      </c>
      <c r="H869" s="74"/>
      <c r="I869" s="446"/>
      <c r="J869" s="446"/>
      <c r="K869" s="437">
        <v>0.5</v>
      </c>
      <c r="L869" s="446">
        <v>22260</v>
      </c>
      <c r="M869" s="65">
        <f t="shared" ref="M869:M877" si="72">ROUND(K869*L869,0)</f>
        <v>11130</v>
      </c>
      <c r="N869" s="66" t="s">
        <v>9</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4"/>
        <v>4</v>
      </c>
      <c r="C870" s="64">
        <f t="shared" si="71"/>
        <v>42475</v>
      </c>
      <c r="D870" s="64" t="s">
        <v>708</v>
      </c>
      <c r="E870" s="64">
        <v>42475</v>
      </c>
      <c r="F870" s="67" t="s">
        <v>1461</v>
      </c>
      <c r="G870" s="995" t="s">
        <v>929</v>
      </c>
      <c r="H870" s="74"/>
      <c r="I870" s="446"/>
      <c r="J870" s="446"/>
      <c r="K870" s="437">
        <v>5</v>
      </c>
      <c r="L870" s="446">
        <v>22260</v>
      </c>
      <c r="M870" s="65">
        <f t="shared" si="72"/>
        <v>111300</v>
      </c>
      <c r="N870" s="66" t="s">
        <v>101</v>
      </c>
      <c r="O870" s="66" t="s">
        <v>267</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4"/>
        <v>4</v>
      </c>
      <c r="C871" s="64">
        <f t="shared" si="71"/>
        <v>42475</v>
      </c>
      <c r="D871" s="64" t="s">
        <v>708</v>
      </c>
      <c r="E871" s="64">
        <v>42475</v>
      </c>
      <c r="F871" s="67" t="s">
        <v>1462</v>
      </c>
      <c r="G871" s="995" t="s">
        <v>929</v>
      </c>
      <c r="H871" s="74"/>
      <c r="I871" s="446"/>
      <c r="J871" s="446"/>
      <c r="K871" s="437">
        <v>0.5</v>
      </c>
      <c r="L871" s="446">
        <v>22260</v>
      </c>
      <c r="M871" s="65">
        <f t="shared" si="72"/>
        <v>11130</v>
      </c>
      <c r="N871" s="66" t="s">
        <v>9</v>
      </c>
      <c r="O871" s="66" t="s">
        <v>267</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4"/>
        <v>4</v>
      </c>
      <c r="C872" s="64">
        <f t="shared" si="71"/>
        <v>42475</v>
      </c>
      <c r="D872" s="64" t="s">
        <v>708</v>
      </c>
      <c r="E872" s="64">
        <v>42475</v>
      </c>
      <c r="F872" s="67" t="s">
        <v>1211</v>
      </c>
      <c r="G872" s="995" t="s">
        <v>928</v>
      </c>
      <c r="H872" s="74" t="s">
        <v>737</v>
      </c>
      <c r="I872" s="448"/>
      <c r="J872" s="448"/>
      <c r="K872" s="439">
        <v>244.21</v>
      </c>
      <c r="L872" s="446">
        <v>22260</v>
      </c>
      <c r="M872" s="65">
        <f t="shared" si="72"/>
        <v>5436115</v>
      </c>
      <c r="N872" s="66" t="s">
        <v>99</v>
      </c>
      <c r="O872" s="66" t="s">
        <v>267</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4"/>
        <v>4</v>
      </c>
      <c r="C873" s="64">
        <f t="shared" si="71"/>
        <v>42475</v>
      </c>
      <c r="D873" s="64" t="s">
        <v>708</v>
      </c>
      <c r="E873" s="64">
        <v>42475</v>
      </c>
      <c r="F873" s="67" t="s">
        <v>1211</v>
      </c>
      <c r="G873" s="995" t="s">
        <v>928</v>
      </c>
      <c r="H873" s="74" t="s">
        <v>738</v>
      </c>
      <c r="I873" s="446"/>
      <c r="J873" s="446"/>
      <c r="K873" s="437">
        <v>213.56</v>
      </c>
      <c r="L873" s="446">
        <v>22260</v>
      </c>
      <c r="M873" s="65">
        <f t="shared" si="72"/>
        <v>4753846</v>
      </c>
      <c r="N873" s="66" t="s">
        <v>99</v>
      </c>
      <c r="O873" s="66" t="s">
        <v>267</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4"/>
        <v>4</v>
      </c>
      <c r="C874" s="64">
        <f t="shared" si="71"/>
        <v>42475</v>
      </c>
      <c r="D874" s="64" t="s">
        <v>708</v>
      </c>
      <c r="E874" s="64">
        <v>42475</v>
      </c>
      <c r="F874" s="67" t="s">
        <v>1211</v>
      </c>
      <c r="G874" s="995" t="s">
        <v>928</v>
      </c>
      <c r="H874" s="74" t="s">
        <v>739</v>
      </c>
      <c r="I874" s="446"/>
      <c r="J874" s="446"/>
      <c r="K874" s="437">
        <v>113.67</v>
      </c>
      <c r="L874" s="446">
        <v>22260</v>
      </c>
      <c r="M874" s="65">
        <f t="shared" si="72"/>
        <v>2530294</v>
      </c>
      <c r="N874" s="66" t="s">
        <v>99</v>
      </c>
      <c r="O874" s="66" t="s">
        <v>267</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4"/>
        <v>4</v>
      </c>
      <c r="C875" s="64">
        <f t="shared" si="71"/>
        <v>42475</v>
      </c>
      <c r="D875" s="64" t="s">
        <v>708</v>
      </c>
      <c r="E875" s="64">
        <v>42475</v>
      </c>
      <c r="F875" s="67" t="s">
        <v>1211</v>
      </c>
      <c r="G875" s="995" t="s">
        <v>928</v>
      </c>
      <c r="H875" s="74" t="s">
        <v>740</v>
      </c>
      <c r="I875" s="446"/>
      <c r="J875" s="446"/>
      <c r="K875" s="437">
        <v>148.11000000000001</v>
      </c>
      <c r="L875" s="446">
        <v>22260</v>
      </c>
      <c r="M875" s="65">
        <f t="shared" si="72"/>
        <v>3296929</v>
      </c>
      <c r="N875" s="66" t="s">
        <v>99</v>
      </c>
      <c r="O875" s="66" t="s">
        <v>267</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4"/>
        <v>4</v>
      </c>
      <c r="C876" s="64">
        <f t="shared" si="71"/>
        <v>42475</v>
      </c>
      <c r="D876" s="64" t="s">
        <v>708</v>
      </c>
      <c r="E876" s="64">
        <v>42475</v>
      </c>
      <c r="F876" s="67" t="s">
        <v>1211</v>
      </c>
      <c r="G876" s="995" t="s">
        <v>928</v>
      </c>
      <c r="H876" s="74" t="s">
        <v>750</v>
      </c>
      <c r="I876" s="446"/>
      <c r="J876" s="446"/>
      <c r="K876" s="437">
        <v>180.14</v>
      </c>
      <c r="L876" s="446">
        <v>22260</v>
      </c>
      <c r="M876" s="65">
        <f t="shared" si="72"/>
        <v>4009916</v>
      </c>
      <c r="N876" s="66" t="s">
        <v>99</v>
      </c>
      <c r="O876" s="66" t="s">
        <v>267</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4"/>
        <v>4</v>
      </c>
      <c r="C877" s="64">
        <f t="shared" si="71"/>
        <v>42481</v>
      </c>
      <c r="D877" s="64" t="s">
        <v>708</v>
      </c>
      <c r="E877" s="64">
        <v>42481</v>
      </c>
      <c r="F877" s="67" t="s">
        <v>1463</v>
      </c>
      <c r="G877" s="995" t="s">
        <v>930</v>
      </c>
      <c r="H877" s="74"/>
      <c r="I877" s="446"/>
      <c r="J877" s="446"/>
      <c r="K877" s="437">
        <v>3900</v>
      </c>
      <c r="L877" s="446">
        <v>22260</v>
      </c>
      <c r="M877" s="65">
        <f t="shared" si="72"/>
        <v>86814000</v>
      </c>
      <c r="N877" s="323" t="s">
        <v>26</v>
      </c>
      <c r="O877" s="66" t="s">
        <v>267</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4"/>
        <v>4</v>
      </c>
      <c r="C878" s="64">
        <f t="shared" ref="C878:C916" si="73">E878</f>
        <v>42468</v>
      </c>
      <c r="D878" s="64" t="s">
        <v>708</v>
      </c>
      <c r="E878" s="64">
        <v>42468</v>
      </c>
      <c r="F878" s="67" t="s">
        <v>1464</v>
      </c>
      <c r="G878" s="995" t="s">
        <v>928</v>
      </c>
      <c r="H878" s="74" t="s">
        <v>1448</v>
      </c>
      <c r="I878" s="446"/>
      <c r="J878" s="446"/>
      <c r="K878" s="437"/>
      <c r="L878" s="446"/>
      <c r="M878" s="65">
        <v>1000000</v>
      </c>
      <c r="N878" s="323" t="s">
        <v>8</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x</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4"/>
        <v>4</v>
      </c>
      <c r="C879" s="64">
        <f t="shared" si="73"/>
        <v>42468</v>
      </c>
      <c r="D879" s="64" t="s">
        <v>708</v>
      </c>
      <c r="E879" s="64">
        <v>42468</v>
      </c>
      <c r="F879" s="67" t="s">
        <v>1214</v>
      </c>
      <c r="G879" s="995" t="s">
        <v>928</v>
      </c>
      <c r="H879" s="74"/>
      <c r="I879" s="446"/>
      <c r="J879" s="446"/>
      <c r="K879" s="437"/>
      <c r="L879" s="446"/>
      <c r="M879" s="65">
        <v>20000</v>
      </c>
      <c r="N879" s="66" t="s">
        <v>101</v>
      </c>
      <c r="O879" s="66" t="s">
        <v>26</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x</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4"/>
        <v>4</v>
      </c>
      <c r="C880" s="64">
        <f t="shared" si="73"/>
        <v>42468</v>
      </c>
      <c r="D880" s="64" t="s">
        <v>708</v>
      </c>
      <c r="E880" s="64">
        <v>42468</v>
      </c>
      <c r="F880" s="67" t="s">
        <v>1215</v>
      </c>
      <c r="G880" s="995" t="s">
        <v>928</v>
      </c>
      <c r="H880" s="74"/>
      <c r="I880" s="446"/>
      <c r="J880" s="446"/>
      <c r="K880" s="437"/>
      <c r="L880" s="446"/>
      <c r="M880" s="65">
        <v>2000</v>
      </c>
      <c r="N880" s="66" t="s">
        <v>9</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x</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4"/>
        <v>4</v>
      </c>
      <c r="C881" s="64">
        <f t="shared" si="73"/>
        <v>42466</v>
      </c>
      <c r="D881" s="64" t="s">
        <v>708</v>
      </c>
      <c r="E881" s="64">
        <v>42466</v>
      </c>
      <c r="F881" s="67" t="s">
        <v>1206</v>
      </c>
      <c r="G881" s="995" t="s">
        <v>929</v>
      </c>
      <c r="H881" s="74"/>
      <c r="I881" s="446"/>
      <c r="J881" s="446"/>
      <c r="K881" s="437"/>
      <c r="L881" s="446"/>
      <c r="M881" s="65">
        <v>333900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4"/>
        <v>4</v>
      </c>
      <c r="C882" s="64">
        <f t="shared" si="73"/>
        <v>42466</v>
      </c>
      <c r="D882" s="64" t="s">
        <v>708</v>
      </c>
      <c r="E882" s="64">
        <v>42466</v>
      </c>
      <c r="F882" s="67" t="s">
        <v>1207</v>
      </c>
      <c r="G882" s="995" t="s">
        <v>929</v>
      </c>
      <c r="H882" s="74"/>
      <c r="I882" s="446"/>
      <c r="J882" s="446"/>
      <c r="K882" s="437"/>
      <c r="L882" s="446"/>
      <c r="M882" s="65">
        <v>33390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4"/>
        <v>4</v>
      </c>
      <c r="C883" s="64">
        <f t="shared" si="73"/>
        <v>42466</v>
      </c>
      <c r="D883" s="64" t="s">
        <v>708</v>
      </c>
      <c r="E883" s="64">
        <v>42466</v>
      </c>
      <c r="F883" s="67" t="s">
        <v>1211</v>
      </c>
      <c r="G883" s="995" t="s">
        <v>929</v>
      </c>
      <c r="H883" s="7" t="s">
        <v>728</v>
      </c>
      <c r="I883" s="446"/>
      <c r="J883" s="446"/>
      <c r="K883" s="437"/>
      <c r="L883" s="446"/>
      <c r="M883" s="65">
        <v>1203494</v>
      </c>
      <c r="N883" s="66" t="s">
        <v>99</v>
      </c>
      <c r="O883" s="66" t="s">
        <v>26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2" t="str">
        <f>IF(B884&lt;&gt;"",IF(AND(B884='IN-TC'!$S$4,OR(TH!N884="1111",TH!O884="1111")),TH!D884,""),"")</f>
        <v/>
      </c>
      <c r="B884" s="63">
        <f t="shared" si="64"/>
        <v>4</v>
      </c>
      <c r="C884" s="64">
        <f t="shared" si="73"/>
        <v>42466</v>
      </c>
      <c r="D884" s="64" t="s">
        <v>708</v>
      </c>
      <c r="E884" s="64">
        <v>42466</v>
      </c>
      <c r="F884" s="67" t="s">
        <v>1211</v>
      </c>
      <c r="G884" s="995" t="s">
        <v>929</v>
      </c>
      <c r="H884" s="7" t="s">
        <v>720</v>
      </c>
      <c r="I884" s="446"/>
      <c r="J884" s="446"/>
      <c r="K884" s="437"/>
      <c r="L884" s="446"/>
      <c r="M884" s="65">
        <v>2881735</v>
      </c>
      <c r="N884" s="66" t="s">
        <v>99</v>
      </c>
      <c r="O884" s="66" t="s">
        <v>26</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2" t="str">
        <f>IF(B885&lt;&gt;"",IF(AND(B885='IN-TC'!$S$4,OR(TH!N885="1111",TH!O885="1111")),TH!D885,""),"")</f>
        <v/>
      </c>
      <c r="B885" s="63">
        <f t="shared" si="64"/>
        <v>4</v>
      </c>
      <c r="C885" s="64">
        <f t="shared" si="73"/>
        <v>42466</v>
      </c>
      <c r="D885" s="64" t="s">
        <v>708</v>
      </c>
      <c r="E885" s="64">
        <v>42466</v>
      </c>
      <c r="F885" s="67" t="s">
        <v>1211</v>
      </c>
      <c r="G885" s="995" t="s">
        <v>929</v>
      </c>
      <c r="H885" s="7" t="s">
        <v>721</v>
      </c>
      <c r="I885" s="446"/>
      <c r="J885" s="446"/>
      <c r="K885" s="437"/>
      <c r="L885" s="446"/>
      <c r="M885" s="65">
        <v>1774440</v>
      </c>
      <c r="N885" s="66" t="s">
        <v>99</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2" t="str">
        <f>IF(B886&lt;&gt;"",IF(AND(B886='IN-TC'!$S$4,OR(TH!N886="1111",TH!O886="1111")),TH!D886,""),"")</f>
        <v/>
      </c>
      <c r="B886" s="63">
        <f t="shared" si="64"/>
        <v>4</v>
      </c>
      <c r="C886" s="64">
        <f t="shared" si="73"/>
        <v>42466</v>
      </c>
      <c r="D886" s="64" t="s">
        <v>708</v>
      </c>
      <c r="E886" s="64">
        <v>42466</v>
      </c>
      <c r="F886" s="67" t="s">
        <v>1211</v>
      </c>
      <c r="G886" s="995" t="s">
        <v>929</v>
      </c>
      <c r="H886" s="7" t="s">
        <v>729</v>
      </c>
      <c r="I886" s="446"/>
      <c r="J886" s="446"/>
      <c r="K886" s="437"/>
      <c r="L886" s="446"/>
      <c r="M886" s="65">
        <v>2483993</v>
      </c>
      <c r="N886" s="66" t="s">
        <v>99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2" t="str">
        <f>IF(B887&lt;&gt;"",IF(AND(B887='IN-TC'!$S$4,OR(TH!N887="1111",TH!O887="1111")),TH!D887,""),"")</f>
        <v/>
      </c>
      <c r="B887" s="63">
        <f t="shared" si="64"/>
        <v>4</v>
      </c>
      <c r="C887" s="64">
        <f t="shared" si="73"/>
        <v>42468</v>
      </c>
      <c r="D887" s="64" t="s">
        <v>708</v>
      </c>
      <c r="E887" s="64">
        <v>42468</v>
      </c>
      <c r="F887" s="67" t="s">
        <v>1465</v>
      </c>
      <c r="G887" s="995" t="s">
        <v>929</v>
      </c>
      <c r="H887" s="7" t="s">
        <v>635</v>
      </c>
      <c r="I887" s="446"/>
      <c r="J887" s="446"/>
      <c r="K887" s="437"/>
      <c r="L887" s="446"/>
      <c r="M887" s="65">
        <v>22186560</v>
      </c>
      <c r="N887" s="323" t="s">
        <v>8</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2" t="str">
        <f>IF(B888&lt;&gt;"",IF(AND(B888='IN-TC'!$S$4,OR(TH!N888="1111",TH!O888="1111")),TH!D888,""),"")</f>
        <v/>
      </c>
      <c r="B888" s="63">
        <f t="shared" si="64"/>
        <v>4</v>
      </c>
      <c r="C888" s="64">
        <f t="shared" si="73"/>
        <v>42468</v>
      </c>
      <c r="D888" s="64" t="s">
        <v>708</v>
      </c>
      <c r="E888" s="64">
        <v>42468</v>
      </c>
      <c r="F888" s="67" t="s">
        <v>1214</v>
      </c>
      <c r="G888" s="995" t="s">
        <v>929</v>
      </c>
      <c r="H888" s="74"/>
      <c r="I888" s="446"/>
      <c r="J888" s="446"/>
      <c r="K888" s="437"/>
      <c r="L888" s="446"/>
      <c r="M888" s="65">
        <v>45000</v>
      </c>
      <c r="N888" s="66" t="s">
        <v>101</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2" t="str">
        <f>IF(B889&lt;&gt;"",IF(AND(B889='IN-TC'!$S$4,OR(TH!N889="1111",TH!O889="1111")),TH!D889,""),"")</f>
        <v/>
      </c>
      <c r="B889" s="63">
        <f t="shared" si="64"/>
        <v>4</v>
      </c>
      <c r="C889" s="64">
        <f t="shared" si="73"/>
        <v>42468</v>
      </c>
      <c r="D889" s="64" t="s">
        <v>708</v>
      </c>
      <c r="E889" s="64">
        <v>42468</v>
      </c>
      <c r="F889" s="67" t="s">
        <v>1215</v>
      </c>
      <c r="G889" s="995" t="s">
        <v>929</v>
      </c>
      <c r="H889" s="74"/>
      <c r="I889" s="446"/>
      <c r="J889" s="446"/>
      <c r="K889" s="437"/>
      <c r="L889" s="446"/>
      <c r="M889" s="65">
        <v>4500</v>
      </c>
      <c r="N889" s="66" t="s">
        <v>9</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4"/>
        <v>4</v>
      </c>
      <c r="C890" s="64">
        <f t="shared" si="73"/>
        <v>42475</v>
      </c>
      <c r="D890" s="64" t="s">
        <v>708</v>
      </c>
      <c r="E890" s="64">
        <v>42475</v>
      </c>
      <c r="F890" s="67" t="s">
        <v>1466</v>
      </c>
      <c r="G890" s="995" t="s">
        <v>929</v>
      </c>
      <c r="H890" s="74" t="s">
        <v>1467</v>
      </c>
      <c r="I890" s="446"/>
      <c r="J890" s="446"/>
      <c r="K890" s="437"/>
      <c r="L890" s="446"/>
      <c r="M890" s="65">
        <v>19958000</v>
      </c>
      <c r="N890" s="66" t="s">
        <v>26</v>
      </c>
      <c r="O890" s="66" t="s">
        <v>596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s="357" customFormat="1" ht="15.75" customHeight="1">
      <c r="A891" s="342" t="str">
        <f>IF(B891&lt;&gt;"",IF(AND(B891='IN-TC'!$S$4,OR(TH!N891="1111",TH!O891="1111")),TH!D891,""),"")</f>
        <v/>
      </c>
      <c r="B891" s="63">
        <f t="shared" si="64"/>
        <v>4</v>
      </c>
      <c r="C891" s="64">
        <f t="shared" si="73"/>
        <v>42475</v>
      </c>
      <c r="D891" s="64" t="s">
        <v>708</v>
      </c>
      <c r="E891" s="64">
        <v>42475</v>
      </c>
      <c r="F891" s="67" t="s">
        <v>1205</v>
      </c>
      <c r="G891" s="995" t="s">
        <v>929</v>
      </c>
      <c r="H891" s="898" t="s">
        <v>1474</v>
      </c>
      <c r="I891" s="446"/>
      <c r="J891" s="446"/>
      <c r="K891" s="437"/>
      <c r="L891" s="446"/>
      <c r="M891" s="65">
        <v>1600000000</v>
      </c>
      <c r="N891" s="66" t="s">
        <v>26</v>
      </c>
      <c r="O891" s="66" t="s">
        <v>261</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s="357" customFormat="1" ht="15.75" customHeight="1">
      <c r="A892" s="342" t="str">
        <f>IF(B892&lt;&gt;"",IF(AND(B892='IN-TC'!$S$4,OR(TH!N892="1111",TH!O892="1111")),TH!D892,""),"")</f>
        <v/>
      </c>
      <c r="B892" s="63">
        <f t="shared" ref="B892:B893" si="74">IF(C892&lt;&gt;"",MONTH(C892),"")</f>
        <v>4</v>
      </c>
      <c r="C892" s="64">
        <f t="shared" ref="C892:C893" si="75">E892</f>
        <v>42475</v>
      </c>
      <c r="D892" s="64" t="s">
        <v>708</v>
      </c>
      <c r="E892" s="64">
        <v>42475</v>
      </c>
      <c r="F892" s="67" t="s">
        <v>617</v>
      </c>
      <c r="G892" s="995" t="s">
        <v>929</v>
      </c>
      <c r="H892" s="898"/>
      <c r="I892" s="446"/>
      <c r="J892" s="446"/>
      <c r="K892" s="437"/>
      <c r="L892" s="446"/>
      <c r="M892" s="65">
        <v>222800</v>
      </c>
      <c r="N892" s="66" t="s">
        <v>101</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s="357" customFormat="1" ht="15.75" customHeight="1">
      <c r="A893" s="342" t="str">
        <f>IF(B893&lt;&gt;"",IF(AND(B893='IN-TC'!$S$4,OR(TH!N893="1111",TH!O893="1111")),TH!D893,""),"")</f>
        <v/>
      </c>
      <c r="B893" s="63">
        <f t="shared" si="74"/>
        <v>4</v>
      </c>
      <c r="C893" s="64">
        <f t="shared" si="75"/>
        <v>42475</v>
      </c>
      <c r="D893" s="64" t="s">
        <v>708</v>
      </c>
      <c r="E893" s="64">
        <v>42475</v>
      </c>
      <c r="F893" s="67" t="s">
        <v>1208</v>
      </c>
      <c r="G893" s="995" t="s">
        <v>929</v>
      </c>
      <c r="H893" s="898"/>
      <c r="I893" s="446"/>
      <c r="J893" s="446"/>
      <c r="K893" s="437"/>
      <c r="L893" s="446"/>
      <c r="M893" s="65">
        <v>22280</v>
      </c>
      <c r="N893" s="66" t="s">
        <v>9</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s="357" customFormat="1" ht="15.75" customHeight="1">
      <c r="A894" s="342" t="str">
        <f>IF(B894&lt;&gt;"",IF(AND(B894='IN-TC'!$S$4,OR(TH!N894="1111",TH!O894="1111")),TH!D894,""),"")</f>
        <v/>
      </c>
      <c r="B894" s="63">
        <f t="shared" si="64"/>
        <v>4</v>
      </c>
      <c r="C894" s="64">
        <f t="shared" si="73"/>
        <v>42475</v>
      </c>
      <c r="D894" s="64" t="s">
        <v>708</v>
      </c>
      <c r="E894" s="64">
        <v>42475</v>
      </c>
      <c r="F894" s="67" t="s">
        <v>618</v>
      </c>
      <c r="G894" s="995" t="s">
        <v>929</v>
      </c>
      <c r="H894" s="898"/>
      <c r="I894" s="446"/>
      <c r="J894" s="446"/>
      <c r="K894" s="437"/>
      <c r="L894" s="446"/>
      <c r="M894" s="65">
        <v>615374</v>
      </c>
      <c r="N894" s="66" t="s">
        <v>101</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s="357" customFormat="1" ht="15.75" customHeight="1">
      <c r="A895" s="342" t="str">
        <f>IF(B895&lt;&gt;"",IF(AND(B895='IN-TC'!$S$4,OR(TH!N895="1111",TH!O895="1111")),TH!D895,""),"")</f>
        <v/>
      </c>
      <c r="B895" s="63">
        <f t="shared" ref="B895" si="76">IF(C895&lt;&gt;"",MONTH(C895),"")</f>
        <v>4</v>
      </c>
      <c r="C895" s="64">
        <f t="shared" ref="C895" si="77">E895</f>
        <v>42475</v>
      </c>
      <c r="D895" s="64" t="s">
        <v>708</v>
      </c>
      <c r="E895" s="64">
        <v>42475</v>
      </c>
      <c r="F895" s="67" t="s">
        <v>1333</v>
      </c>
      <c r="G895" s="995" t="s">
        <v>929</v>
      </c>
      <c r="H895" s="898"/>
      <c r="I895" s="446"/>
      <c r="J895" s="446"/>
      <c r="K895" s="437"/>
      <c r="L895" s="446"/>
      <c r="M895" s="65">
        <v>61493</v>
      </c>
      <c r="N895" s="66" t="s">
        <v>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s="357" customFormat="1" ht="15.75" customHeight="1">
      <c r="A896" s="342" t="str">
        <f>IF(B896&lt;&gt;"",IF(AND(B896='IN-TC'!$S$4,OR(TH!N896="1111",TH!O896="1111")),TH!D896,""),"")</f>
        <v/>
      </c>
      <c r="B896" s="63">
        <f t="shared" si="64"/>
        <v>4</v>
      </c>
      <c r="C896" s="64">
        <f t="shared" si="73"/>
        <v>42475</v>
      </c>
      <c r="D896" s="64" t="s">
        <v>708</v>
      </c>
      <c r="E896" s="64">
        <v>42475</v>
      </c>
      <c r="F896" s="67" t="s">
        <v>1157</v>
      </c>
      <c r="G896" s="995" t="s">
        <v>929</v>
      </c>
      <c r="H896" s="74" t="s">
        <v>772</v>
      </c>
      <c r="I896" s="446"/>
      <c r="J896" s="446"/>
      <c r="K896" s="437"/>
      <c r="L896" s="446"/>
      <c r="M896" s="65">
        <v>1600000000</v>
      </c>
      <c r="N896" s="66" t="s">
        <v>63</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64"/>
        <v>4</v>
      </c>
      <c r="C897" s="64">
        <f t="shared" si="73"/>
        <v>42479</v>
      </c>
      <c r="D897" s="64" t="s">
        <v>708</v>
      </c>
      <c r="E897" s="64">
        <v>42479</v>
      </c>
      <c r="F897" s="67" t="s">
        <v>1211</v>
      </c>
      <c r="G897" s="995" t="s">
        <v>929</v>
      </c>
      <c r="H897" s="7" t="s">
        <v>733</v>
      </c>
      <c r="I897" s="446"/>
      <c r="J897" s="446"/>
      <c r="K897" s="437"/>
      <c r="L897" s="446"/>
      <c r="M897" s="65">
        <v>6883892</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64"/>
        <v>4</v>
      </c>
      <c r="C898" s="64">
        <f t="shared" si="73"/>
        <v>42479</v>
      </c>
      <c r="D898" s="64" t="s">
        <v>708</v>
      </c>
      <c r="E898" s="64">
        <v>42479</v>
      </c>
      <c r="F898" s="67" t="s">
        <v>1211</v>
      </c>
      <c r="G898" s="995" t="s">
        <v>929</v>
      </c>
      <c r="H898" s="7" t="s">
        <v>734</v>
      </c>
      <c r="I898" s="446"/>
      <c r="J898" s="446"/>
      <c r="K898" s="437"/>
      <c r="L898" s="446"/>
      <c r="M898" s="65">
        <v>6845485</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64"/>
        <v>4</v>
      </c>
      <c r="C899" s="64">
        <f t="shared" si="73"/>
        <v>42479</v>
      </c>
      <c r="D899" s="64" t="s">
        <v>708</v>
      </c>
      <c r="E899" s="64">
        <v>42479</v>
      </c>
      <c r="F899" s="67" t="s">
        <v>1211</v>
      </c>
      <c r="G899" s="995" t="s">
        <v>929</v>
      </c>
      <c r="H899" s="7" t="s">
        <v>741</v>
      </c>
      <c r="I899" s="446"/>
      <c r="J899" s="446"/>
      <c r="K899" s="437"/>
      <c r="L899" s="446"/>
      <c r="M899" s="65">
        <v>4691756</v>
      </c>
      <c r="N899" s="66" t="s">
        <v>99</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B1006" si="78">IF(C900&lt;&gt;"",MONTH(C900),"")</f>
        <v>4</v>
      </c>
      <c r="C900" s="64">
        <f t="shared" si="73"/>
        <v>42481</v>
      </c>
      <c r="D900" s="64" t="s">
        <v>708</v>
      </c>
      <c r="E900" s="64">
        <v>42481</v>
      </c>
      <c r="F900" s="67" t="s">
        <v>1468</v>
      </c>
      <c r="G900" s="995" t="s">
        <v>929</v>
      </c>
      <c r="H900" s="350" t="s">
        <v>1233</v>
      </c>
      <c r="I900" s="448"/>
      <c r="J900" s="448"/>
      <c r="K900" s="439"/>
      <c r="L900" s="448"/>
      <c r="M900" s="65">
        <v>40000000</v>
      </c>
      <c r="N900" s="66" t="s">
        <v>72</v>
      </c>
      <c r="O900" s="66" t="s">
        <v>26</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x</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8"/>
        <v>4</v>
      </c>
      <c r="C901" s="64">
        <f t="shared" si="73"/>
        <v>42481</v>
      </c>
      <c r="D901" s="64" t="s">
        <v>708</v>
      </c>
      <c r="E901" s="64">
        <v>42481</v>
      </c>
      <c r="F901" s="67" t="s">
        <v>1211</v>
      </c>
      <c r="G901" s="995" t="s">
        <v>929</v>
      </c>
      <c r="H901" s="7" t="s">
        <v>735</v>
      </c>
      <c r="I901" s="446"/>
      <c r="J901" s="446"/>
      <c r="K901" s="437"/>
      <c r="L901" s="446"/>
      <c r="M901" s="65">
        <v>6845767</v>
      </c>
      <c r="N901" s="66" t="s">
        <v>99</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8"/>
        <v>4</v>
      </c>
      <c r="C902" s="64">
        <f t="shared" si="73"/>
        <v>42481</v>
      </c>
      <c r="D902" s="64" t="s">
        <v>708</v>
      </c>
      <c r="E902" s="64">
        <v>42481</v>
      </c>
      <c r="F902" s="67" t="s">
        <v>1211</v>
      </c>
      <c r="G902" s="995" t="s">
        <v>929</v>
      </c>
      <c r="H902" s="7" t="s">
        <v>736</v>
      </c>
      <c r="I902" s="446"/>
      <c r="J902" s="446"/>
      <c r="K902" s="437"/>
      <c r="L902" s="446"/>
      <c r="M902" s="65">
        <v>6768763</v>
      </c>
      <c r="N902" s="66" t="s">
        <v>99</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8"/>
        <v>4</v>
      </c>
      <c r="C903" s="64">
        <f t="shared" si="73"/>
        <v>42481</v>
      </c>
      <c r="D903" s="64" t="s">
        <v>708</v>
      </c>
      <c r="E903" s="64">
        <v>42481</v>
      </c>
      <c r="F903" s="67" t="s">
        <v>1211</v>
      </c>
      <c r="G903" s="995" t="s">
        <v>929</v>
      </c>
      <c r="H903" s="7" t="s">
        <v>744</v>
      </c>
      <c r="I903" s="448"/>
      <c r="J903" s="448"/>
      <c r="K903" s="439"/>
      <c r="L903" s="448"/>
      <c r="M903" s="65">
        <v>7461130</v>
      </c>
      <c r="N903" s="66" t="s">
        <v>99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8"/>
        <v>4</v>
      </c>
      <c r="C904" s="64">
        <f t="shared" si="73"/>
        <v>42481</v>
      </c>
      <c r="D904" s="64" t="s">
        <v>708</v>
      </c>
      <c r="E904" s="64">
        <v>42481</v>
      </c>
      <c r="F904" s="67" t="s">
        <v>1211</v>
      </c>
      <c r="G904" s="995" t="s">
        <v>929</v>
      </c>
      <c r="H904" s="74" t="s">
        <v>1199</v>
      </c>
      <c r="I904" s="446"/>
      <c r="J904" s="446"/>
      <c r="K904" s="437"/>
      <c r="L904" s="446"/>
      <c r="M904" s="65">
        <v>8545435</v>
      </c>
      <c r="N904" s="66" t="s">
        <v>99</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8"/>
        <v>4</v>
      </c>
      <c r="C905" s="64">
        <f t="shared" si="73"/>
        <v>42481</v>
      </c>
      <c r="D905" s="64" t="s">
        <v>708</v>
      </c>
      <c r="E905" s="64">
        <v>42481</v>
      </c>
      <c r="F905" s="67" t="s">
        <v>1211</v>
      </c>
      <c r="G905" s="995" t="s">
        <v>929</v>
      </c>
      <c r="H905" s="74" t="s">
        <v>1201</v>
      </c>
      <c r="I905" s="446"/>
      <c r="J905" s="446"/>
      <c r="K905" s="437"/>
      <c r="L905" s="446"/>
      <c r="M905" s="65">
        <v>9155887</v>
      </c>
      <c r="N905" s="66" t="s">
        <v>99</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8"/>
        <v>4</v>
      </c>
      <c r="C906" s="64">
        <f t="shared" si="73"/>
        <v>42482</v>
      </c>
      <c r="D906" s="64" t="s">
        <v>708</v>
      </c>
      <c r="E906" s="64">
        <v>42482</v>
      </c>
      <c r="F906" s="67" t="s">
        <v>1469</v>
      </c>
      <c r="G906" s="995" t="s">
        <v>929</v>
      </c>
      <c r="H906" s="322" t="s">
        <v>1375</v>
      </c>
      <c r="I906" s="446"/>
      <c r="J906" s="446"/>
      <c r="K906" s="437"/>
      <c r="L906" s="446"/>
      <c r="M906" s="65">
        <v>136832</v>
      </c>
      <c r="N906" s="66" t="s">
        <v>105</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8"/>
        <v>4</v>
      </c>
      <c r="C907" s="64">
        <f t="shared" si="73"/>
        <v>42485</v>
      </c>
      <c r="D907" s="64" t="s">
        <v>708</v>
      </c>
      <c r="E907" s="64">
        <v>42485</v>
      </c>
      <c r="F907" s="67" t="s">
        <v>1470</v>
      </c>
      <c r="G907" s="995" t="s">
        <v>929</v>
      </c>
      <c r="H907" s="7" t="s">
        <v>632</v>
      </c>
      <c r="I907" s="446"/>
      <c r="J907" s="446"/>
      <c r="K907" s="437"/>
      <c r="L907" s="446"/>
      <c r="M907" s="65">
        <v>780000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8"/>
        <v>4</v>
      </c>
      <c r="C908" s="64">
        <f t="shared" si="73"/>
        <v>42485</v>
      </c>
      <c r="D908" s="64" t="s">
        <v>708</v>
      </c>
      <c r="E908" s="64">
        <v>42485</v>
      </c>
      <c r="F908" s="67" t="s">
        <v>1214</v>
      </c>
      <c r="G908" s="995" t="s">
        <v>929</v>
      </c>
      <c r="H908" s="322"/>
      <c r="I908" s="446"/>
      <c r="J908" s="446"/>
      <c r="K908" s="437"/>
      <c r="L908" s="446"/>
      <c r="M908" s="65">
        <v>20000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8"/>
        <v>4</v>
      </c>
      <c r="C909" s="64">
        <f t="shared" si="73"/>
        <v>42485</v>
      </c>
      <c r="D909" s="64" t="s">
        <v>708</v>
      </c>
      <c r="E909" s="64">
        <v>42485</v>
      </c>
      <c r="F909" s="67" t="s">
        <v>1215</v>
      </c>
      <c r="G909" s="995" t="s">
        <v>929</v>
      </c>
      <c r="H909" s="322"/>
      <c r="I909" s="446"/>
      <c r="J909" s="446"/>
      <c r="K909" s="437"/>
      <c r="L909" s="446"/>
      <c r="M909" s="65">
        <v>2000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8"/>
        <v>4</v>
      </c>
      <c r="C910" s="64">
        <f t="shared" si="73"/>
        <v>42485</v>
      </c>
      <c r="D910" s="64" t="s">
        <v>708</v>
      </c>
      <c r="E910" s="64">
        <v>42485</v>
      </c>
      <c r="F910" s="67" t="s">
        <v>1471</v>
      </c>
      <c r="G910" s="995" t="s">
        <v>929</v>
      </c>
      <c r="H910" s="7" t="s">
        <v>632</v>
      </c>
      <c r="I910" s="446"/>
      <c r="J910" s="446"/>
      <c r="K910" s="437"/>
      <c r="L910" s="446"/>
      <c r="M910" s="65">
        <v>2205000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8"/>
        <v>4</v>
      </c>
      <c r="C911" s="64">
        <f t="shared" si="73"/>
        <v>42485</v>
      </c>
      <c r="D911" s="64" t="s">
        <v>708</v>
      </c>
      <c r="E911" s="64">
        <v>42485</v>
      </c>
      <c r="F911" s="67" t="s">
        <v>1214</v>
      </c>
      <c r="G911" s="995" t="s">
        <v>929</v>
      </c>
      <c r="H911" s="350"/>
      <c r="I911" s="448"/>
      <c r="J911" s="448"/>
      <c r="K911" s="439"/>
      <c r="L911" s="448"/>
      <c r="M911" s="65">
        <v>20000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8"/>
        <v>4</v>
      </c>
      <c r="C912" s="64">
        <f t="shared" si="73"/>
        <v>42485</v>
      </c>
      <c r="D912" s="64" t="s">
        <v>708</v>
      </c>
      <c r="E912" s="64">
        <v>42485</v>
      </c>
      <c r="F912" s="67" t="s">
        <v>1215</v>
      </c>
      <c r="G912" s="995" t="s">
        <v>929</v>
      </c>
      <c r="H912" s="350"/>
      <c r="I912" s="448"/>
      <c r="J912" s="448"/>
      <c r="K912" s="439"/>
      <c r="L912" s="448"/>
      <c r="M912" s="65">
        <v>2000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8"/>
        <v>4</v>
      </c>
      <c r="C913" s="64">
        <f t="shared" si="73"/>
        <v>42485</v>
      </c>
      <c r="D913" s="64" t="s">
        <v>708</v>
      </c>
      <c r="E913" s="64">
        <v>42485</v>
      </c>
      <c r="F913" s="321" t="s">
        <v>1231</v>
      </c>
      <c r="G913" s="995" t="s">
        <v>929</v>
      </c>
      <c r="H913" s="77" t="s">
        <v>629</v>
      </c>
      <c r="I913" s="446"/>
      <c r="J913" s="446"/>
      <c r="K913" s="437"/>
      <c r="L913" s="446"/>
      <c r="M913" s="65">
        <v>35536000</v>
      </c>
      <c r="N913" s="66" t="s">
        <v>8</v>
      </c>
      <c r="O913" s="66" t="s">
        <v>26</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8"/>
        <v>4</v>
      </c>
      <c r="C914" s="64">
        <f t="shared" si="73"/>
        <v>42485</v>
      </c>
      <c r="D914" s="64" t="s">
        <v>708</v>
      </c>
      <c r="E914" s="64">
        <v>42485</v>
      </c>
      <c r="F914" s="67" t="s">
        <v>1214</v>
      </c>
      <c r="G914" s="995" t="s">
        <v>929</v>
      </c>
      <c r="H914" s="322"/>
      <c r="I914" s="446"/>
      <c r="J914" s="446"/>
      <c r="K914" s="437"/>
      <c r="L914" s="446"/>
      <c r="M914" s="65">
        <v>40000</v>
      </c>
      <c r="N914" s="323" t="s">
        <v>101</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8"/>
        <v>4</v>
      </c>
      <c r="C915" s="64">
        <f t="shared" si="73"/>
        <v>42485</v>
      </c>
      <c r="D915" s="64" t="s">
        <v>708</v>
      </c>
      <c r="E915" s="64">
        <v>42485</v>
      </c>
      <c r="F915" s="67" t="s">
        <v>1215</v>
      </c>
      <c r="G915" s="995" t="s">
        <v>929</v>
      </c>
      <c r="H915" s="322"/>
      <c r="I915" s="446"/>
      <c r="J915" s="446"/>
      <c r="K915" s="437"/>
      <c r="L915" s="446"/>
      <c r="M915" s="65">
        <v>4000</v>
      </c>
      <c r="N915" s="323" t="s">
        <v>9</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8"/>
        <v>4</v>
      </c>
      <c r="C916" s="64">
        <f t="shared" si="73"/>
        <v>42485</v>
      </c>
      <c r="D916" s="64" t="s">
        <v>708</v>
      </c>
      <c r="E916" s="64">
        <v>42485</v>
      </c>
      <c r="F916" s="321" t="s">
        <v>1472</v>
      </c>
      <c r="G916" s="995" t="s">
        <v>929</v>
      </c>
      <c r="H916" s="74" t="s">
        <v>1186</v>
      </c>
      <c r="I916" s="446"/>
      <c r="J916" s="446"/>
      <c r="K916" s="437"/>
      <c r="L916" s="446"/>
      <c r="M916" s="65">
        <v>36900000</v>
      </c>
      <c r="N916" s="66" t="s">
        <v>8</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8"/>
        <v>4</v>
      </c>
      <c r="C917" s="64">
        <f t="shared" ref="C917:C929" si="79">E917</f>
        <v>42485</v>
      </c>
      <c r="D917" s="64" t="s">
        <v>708</v>
      </c>
      <c r="E917" s="64">
        <v>42485</v>
      </c>
      <c r="F917" s="67" t="s">
        <v>1214</v>
      </c>
      <c r="G917" s="995" t="s">
        <v>929</v>
      </c>
      <c r="H917" s="322"/>
      <c r="I917" s="446"/>
      <c r="J917" s="446"/>
      <c r="K917" s="437"/>
      <c r="L917" s="446"/>
      <c r="M917" s="65">
        <v>40000</v>
      </c>
      <c r="N917" s="323" t="s">
        <v>101</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8"/>
        <v>4</v>
      </c>
      <c r="C918" s="64">
        <f t="shared" si="79"/>
        <v>42485</v>
      </c>
      <c r="D918" s="64" t="s">
        <v>708</v>
      </c>
      <c r="E918" s="64">
        <v>42485</v>
      </c>
      <c r="F918" s="67" t="s">
        <v>1215</v>
      </c>
      <c r="G918" s="995" t="s">
        <v>929</v>
      </c>
      <c r="H918" s="322"/>
      <c r="I918" s="446"/>
      <c r="J918" s="446"/>
      <c r="K918" s="437"/>
      <c r="L918" s="446"/>
      <c r="M918" s="65">
        <v>4000</v>
      </c>
      <c r="N918" s="323" t="s">
        <v>9</v>
      </c>
      <c r="O918" s="66" t="s">
        <v>26</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si="78"/>
        <v>4</v>
      </c>
      <c r="C919" s="64">
        <f t="shared" si="79"/>
        <v>42486</v>
      </c>
      <c r="D919" s="64" t="s">
        <v>708</v>
      </c>
      <c r="E919" s="64">
        <v>42486</v>
      </c>
      <c r="F919" s="67" t="s">
        <v>1473</v>
      </c>
      <c r="G919" s="995" t="s">
        <v>929</v>
      </c>
      <c r="H919" s="7" t="s">
        <v>635</v>
      </c>
      <c r="I919" s="446"/>
      <c r="J919" s="446"/>
      <c r="K919" s="437"/>
      <c r="L919" s="446"/>
      <c r="M919" s="65">
        <v>26225320</v>
      </c>
      <c r="N919" s="66" t="s">
        <v>8</v>
      </c>
      <c r="O919" s="66" t="s">
        <v>26</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si="78"/>
        <v>4</v>
      </c>
      <c r="C920" s="64">
        <f t="shared" si="79"/>
        <v>42486</v>
      </c>
      <c r="D920" s="64" t="s">
        <v>708</v>
      </c>
      <c r="E920" s="64">
        <v>42486</v>
      </c>
      <c r="F920" s="67" t="s">
        <v>1214</v>
      </c>
      <c r="G920" s="995" t="s">
        <v>929</v>
      </c>
      <c r="H920" s="74"/>
      <c r="I920" s="446"/>
      <c r="J920" s="446"/>
      <c r="K920" s="437"/>
      <c r="L920" s="446"/>
      <c r="M920" s="65">
        <v>45000</v>
      </c>
      <c r="N920" s="323" t="s">
        <v>101</v>
      </c>
      <c r="O920" s="66" t="s">
        <v>26</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si="78"/>
        <v>4</v>
      </c>
      <c r="C921" s="64">
        <f t="shared" si="79"/>
        <v>42486</v>
      </c>
      <c r="D921" s="64" t="s">
        <v>708</v>
      </c>
      <c r="E921" s="64">
        <v>42486</v>
      </c>
      <c r="F921" s="67" t="s">
        <v>1215</v>
      </c>
      <c r="G921" s="995" t="s">
        <v>929</v>
      </c>
      <c r="H921" s="74"/>
      <c r="I921" s="446"/>
      <c r="J921" s="446"/>
      <c r="K921" s="437"/>
      <c r="L921" s="446"/>
      <c r="M921" s="65">
        <v>4500</v>
      </c>
      <c r="N921" s="323" t="s">
        <v>9</v>
      </c>
      <c r="O921" s="66" t="s">
        <v>26</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si="78"/>
        <v>4</v>
      </c>
      <c r="C922" s="64">
        <f t="shared" si="79"/>
        <v>42488</v>
      </c>
      <c r="D922" s="64" t="s">
        <v>708</v>
      </c>
      <c r="E922" s="64">
        <v>42488</v>
      </c>
      <c r="F922" s="67" t="s">
        <v>1469</v>
      </c>
      <c r="G922" s="995" t="s">
        <v>929</v>
      </c>
      <c r="H922" s="322" t="s">
        <v>1375</v>
      </c>
      <c r="I922" s="446"/>
      <c r="J922" s="446"/>
      <c r="K922" s="437"/>
      <c r="L922" s="446"/>
      <c r="M922" s="65">
        <v>304272</v>
      </c>
      <c r="N922" s="66" t="s">
        <v>105</v>
      </c>
      <c r="O922" s="66" t="s">
        <v>26</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si="78"/>
        <v>4</v>
      </c>
      <c r="C923" s="64">
        <f t="shared" si="79"/>
        <v>42489</v>
      </c>
      <c r="D923" s="64" t="s">
        <v>708</v>
      </c>
      <c r="E923" s="64">
        <v>42489</v>
      </c>
      <c r="F923" s="321" t="s">
        <v>1475</v>
      </c>
      <c r="G923" s="995" t="s">
        <v>929</v>
      </c>
      <c r="H923" s="898" t="s">
        <v>1388</v>
      </c>
      <c r="I923" s="446"/>
      <c r="J923" s="446"/>
      <c r="K923" s="437">
        <f>M923/L923</f>
        <v>76081.644384546278</v>
      </c>
      <c r="L923" s="446">
        <v>22260</v>
      </c>
      <c r="M923" s="65">
        <v>1693577404</v>
      </c>
      <c r="N923" s="323" t="s">
        <v>26</v>
      </c>
      <c r="O923" s="66" t="s">
        <v>591</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x</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ref="B924" si="80">IF(C924&lt;&gt;"",MONTH(C924),"")</f>
        <v>4</v>
      </c>
      <c r="C924" s="64">
        <f t="shared" ref="C924" si="81">E924</f>
        <v>42489</v>
      </c>
      <c r="D924" s="64" t="s">
        <v>708</v>
      </c>
      <c r="E924" s="64">
        <v>42489</v>
      </c>
      <c r="F924" s="321" t="s">
        <v>1477</v>
      </c>
      <c r="G924" s="995" t="s">
        <v>929</v>
      </c>
      <c r="H924" s="898" t="s">
        <v>1388</v>
      </c>
      <c r="I924" s="446"/>
      <c r="J924" s="446"/>
      <c r="K924" s="437">
        <v>170</v>
      </c>
      <c r="L924" s="446">
        <v>22260</v>
      </c>
      <c r="M924" s="65">
        <f t="shared" ref="M924" si="82">ROUND(K924*L924,0)</f>
        <v>3784200</v>
      </c>
      <c r="N924" s="323" t="s">
        <v>101</v>
      </c>
      <c r="O924" s="66" t="s">
        <v>591</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x</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ref="B925" si="83">IF(C925&lt;&gt;"",MONTH(C925),"")</f>
        <v>4</v>
      </c>
      <c r="C925" s="64">
        <f t="shared" ref="C925" si="84">E925</f>
        <v>42489</v>
      </c>
      <c r="D925" s="64" t="s">
        <v>708</v>
      </c>
      <c r="E925" s="64">
        <v>42489</v>
      </c>
      <c r="F925" s="321" t="s">
        <v>1478</v>
      </c>
      <c r="G925" s="995" t="s">
        <v>929</v>
      </c>
      <c r="H925" s="898" t="s">
        <v>1388</v>
      </c>
      <c r="I925" s="446"/>
      <c r="J925" s="446"/>
      <c r="K925" s="437">
        <f>M925/L925</f>
        <v>181.69110512129379</v>
      </c>
      <c r="L925" s="446">
        <v>22260</v>
      </c>
      <c r="M925" s="65">
        <v>4044444</v>
      </c>
      <c r="N925" s="323" t="s">
        <v>99</v>
      </c>
      <c r="O925" s="66" t="s">
        <v>591</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x</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ref="B926" si="85">IF(C926&lt;&gt;"",MONTH(C926),"")</f>
        <v>4</v>
      </c>
      <c r="C926" s="64">
        <f t="shared" ref="C926" si="86">E926</f>
        <v>42489</v>
      </c>
      <c r="D926" s="64" t="s">
        <v>708</v>
      </c>
      <c r="E926" s="64">
        <v>42489</v>
      </c>
      <c r="F926" s="321" t="s">
        <v>1477</v>
      </c>
      <c r="G926" s="995" t="s">
        <v>929</v>
      </c>
      <c r="H926" s="898" t="s">
        <v>1388</v>
      </c>
      <c r="I926" s="446"/>
      <c r="J926" s="446"/>
      <c r="K926" s="437">
        <f>M926/L926</f>
        <v>115.14955076370171</v>
      </c>
      <c r="L926" s="446">
        <v>22260</v>
      </c>
      <c r="M926" s="65">
        <v>2563229</v>
      </c>
      <c r="N926" s="323" t="s">
        <v>101</v>
      </c>
      <c r="O926" s="66" t="s">
        <v>591</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x</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ref="B927" si="87">IF(C927&lt;&gt;"",MONTH(C927),"")</f>
        <v>4</v>
      </c>
      <c r="C927" s="64">
        <f t="shared" ref="C927" si="88">E927</f>
        <v>42489</v>
      </c>
      <c r="D927" s="64" t="s">
        <v>708</v>
      </c>
      <c r="E927" s="64">
        <v>42489</v>
      </c>
      <c r="F927" s="321" t="s">
        <v>1490</v>
      </c>
      <c r="G927" s="995" t="s">
        <v>929</v>
      </c>
      <c r="H927" s="898" t="s">
        <v>1388</v>
      </c>
      <c r="I927" s="446"/>
      <c r="J927" s="446"/>
      <c r="K927" s="437">
        <f>M927/L927</f>
        <v>11.514959568733154</v>
      </c>
      <c r="L927" s="446">
        <v>22260</v>
      </c>
      <c r="M927" s="65">
        <v>256323</v>
      </c>
      <c r="N927" s="323" t="s">
        <v>9</v>
      </c>
      <c r="O927" s="66" t="s">
        <v>591</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x</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ref="B928" si="89">IF(C928&lt;&gt;"",MONTH(C928),"")</f>
        <v>4</v>
      </c>
      <c r="C928" s="64">
        <f t="shared" ref="C928" si="90">E928</f>
        <v>42489</v>
      </c>
      <c r="D928" s="64" t="s">
        <v>708</v>
      </c>
      <c r="E928" s="64">
        <v>42489</v>
      </c>
      <c r="F928" s="321" t="s">
        <v>1079</v>
      </c>
      <c r="G928" s="995" t="s">
        <v>929</v>
      </c>
      <c r="H928" s="898" t="s">
        <v>1388</v>
      </c>
      <c r="I928" s="446"/>
      <c r="J928" s="446"/>
      <c r="K928" s="437"/>
      <c r="L928" s="446"/>
      <c r="M928" s="65">
        <v>765600</v>
      </c>
      <c r="N928" s="323" t="s">
        <v>591</v>
      </c>
      <c r="O928" s="66" t="s">
        <v>43</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x</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8"/>
        <v>4</v>
      </c>
      <c r="C929" s="64">
        <f t="shared" si="79"/>
        <v>42489</v>
      </c>
      <c r="D929" s="64" t="s">
        <v>708</v>
      </c>
      <c r="E929" s="64">
        <v>42489</v>
      </c>
      <c r="F929" s="321" t="s">
        <v>1476</v>
      </c>
      <c r="G929" s="995" t="s">
        <v>929</v>
      </c>
      <c r="H929" s="898" t="s">
        <v>1474</v>
      </c>
      <c r="I929" s="446"/>
      <c r="J929" s="446"/>
      <c r="K929" s="437"/>
      <c r="L929" s="446"/>
      <c r="M929" s="65">
        <v>1600000000</v>
      </c>
      <c r="N929" s="323" t="s">
        <v>261</v>
      </c>
      <c r="O929" s="66" t="s">
        <v>26</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ref="B930" si="91">IF(C930&lt;&gt;"",MONTH(C930),"")</f>
        <v>5</v>
      </c>
      <c r="C930" s="64">
        <v>42494</v>
      </c>
      <c r="D930" s="64" t="s">
        <v>878</v>
      </c>
      <c r="E930" s="64">
        <v>42489</v>
      </c>
      <c r="F930" s="321" t="s">
        <v>1503</v>
      </c>
      <c r="G930" s="995" t="s">
        <v>1504</v>
      </c>
      <c r="H930" s="898" t="s">
        <v>812</v>
      </c>
      <c r="I930" s="446"/>
      <c r="J930" s="446"/>
      <c r="K930" s="437"/>
      <c r="L930" s="446"/>
      <c r="M930" s="65">
        <v>33050</v>
      </c>
      <c r="N930" s="323" t="s">
        <v>101</v>
      </c>
      <c r="O930" s="66" t="s">
        <v>63</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ref="B931:B932" si="92">IF(C931&lt;&gt;"",MONTH(C931),"")</f>
        <v>5</v>
      </c>
      <c r="C931" s="64">
        <v>42494</v>
      </c>
      <c r="D931" s="64" t="s">
        <v>878</v>
      </c>
      <c r="E931" s="64">
        <v>42489</v>
      </c>
      <c r="F931" s="321" t="s">
        <v>1508</v>
      </c>
      <c r="G931" s="995" t="s">
        <v>1504</v>
      </c>
      <c r="H931" s="898" t="s">
        <v>812</v>
      </c>
      <c r="I931" s="446"/>
      <c r="J931" s="446"/>
      <c r="K931" s="437"/>
      <c r="L931" s="446"/>
      <c r="M931" s="65">
        <v>3305</v>
      </c>
      <c r="N931" s="323" t="s">
        <v>9</v>
      </c>
      <c r="O931" s="66" t="s">
        <v>63</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92"/>
        <v>5</v>
      </c>
      <c r="C932" s="64">
        <v>42494</v>
      </c>
      <c r="D932" s="64" t="s">
        <v>879</v>
      </c>
      <c r="E932" s="64">
        <v>42494</v>
      </c>
      <c r="F932" s="321" t="s">
        <v>1118</v>
      </c>
      <c r="G932" s="67" t="s">
        <v>929</v>
      </c>
      <c r="H932" s="1192" t="s">
        <v>773</v>
      </c>
      <c r="I932" s="446"/>
      <c r="J932" s="446"/>
      <c r="K932" s="437"/>
      <c r="L932" s="446"/>
      <c r="M932" s="65">
        <v>31000000</v>
      </c>
      <c r="N932" s="323" t="s">
        <v>26</v>
      </c>
      <c r="O932" s="66" t="s">
        <v>63</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8"/>
        <v>5</v>
      </c>
      <c r="C933" s="64">
        <v>42494</v>
      </c>
      <c r="D933" s="64" t="s">
        <v>880</v>
      </c>
      <c r="E933" s="64">
        <v>42494</v>
      </c>
      <c r="F933" s="321" t="s">
        <v>1025</v>
      </c>
      <c r="G933" s="995" t="s">
        <v>1497</v>
      </c>
      <c r="H933" s="322" t="s">
        <v>818</v>
      </c>
      <c r="I933" s="446"/>
      <c r="J933" s="446"/>
      <c r="K933" s="437"/>
      <c r="L933" s="446"/>
      <c r="M933" s="65">
        <v>1082436</v>
      </c>
      <c r="N933" s="323" t="s">
        <v>101</v>
      </c>
      <c r="O933" s="66" t="s">
        <v>63</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ref="B934" si="93">IF(C934&lt;&gt;"",MONTH(C934),"")</f>
        <v>5</v>
      </c>
      <c r="C934" s="64">
        <v>42494</v>
      </c>
      <c r="D934" s="64" t="s">
        <v>880</v>
      </c>
      <c r="E934" s="64">
        <v>42494</v>
      </c>
      <c r="F934" s="321" t="s">
        <v>1026</v>
      </c>
      <c r="G934" s="995" t="s">
        <v>1497</v>
      </c>
      <c r="H934" s="322" t="s">
        <v>818</v>
      </c>
      <c r="I934" s="446"/>
      <c r="J934" s="446"/>
      <c r="K934" s="437"/>
      <c r="L934" s="446"/>
      <c r="M934" s="65">
        <v>108244</v>
      </c>
      <c r="N934" s="323" t="s">
        <v>9</v>
      </c>
      <c r="O934" s="66" t="s">
        <v>63</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8"/>
        <v>5</v>
      </c>
      <c r="C935" s="320">
        <v>42495</v>
      </c>
      <c r="D935" s="64" t="s">
        <v>881</v>
      </c>
      <c r="E935" s="320">
        <v>42495</v>
      </c>
      <c r="F935" s="321" t="s">
        <v>1491</v>
      </c>
      <c r="G935" s="999" t="s">
        <v>1498</v>
      </c>
      <c r="H935" s="322" t="s">
        <v>856</v>
      </c>
      <c r="I935" s="446"/>
      <c r="J935" s="446"/>
      <c r="K935" s="437"/>
      <c r="L935" s="446"/>
      <c r="M935" s="65">
        <v>1927823</v>
      </c>
      <c r="N935" s="323" t="s">
        <v>101</v>
      </c>
      <c r="O935" s="66" t="s">
        <v>63</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8"/>
        <v>5</v>
      </c>
      <c r="C936" s="320">
        <v>42495</v>
      </c>
      <c r="D936" s="64" t="s">
        <v>881</v>
      </c>
      <c r="E936" s="320">
        <v>42495</v>
      </c>
      <c r="F936" s="321" t="s">
        <v>1492</v>
      </c>
      <c r="G936" s="999" t="s">
        <v>1498</v>
      </c>
      <c r="H936" s="322" t="s">
        <v>856</v>
      </c>
      <c r="I936" s="448"/>
      <c r="J936" s="448"/>
      <c r="K936" s="439"/>
      <c r="L936" s="448"/>
      <c r="M936" s="65">
        <v>192782</v>
      </c>
      <c r="N936" s="323" t="s">
        <v>9</v>
      </c>
      <c r="O936" s="66" t="s">
        <v>63</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8"/>
        <v>5</v>
      </c>
      <c r="C937" s="64">
        <v>42499</v>
      </c>
      <c r="D937" s="64" t="s">
        <v>882</v>
      </c>
      <c r="E937" s="64">
        <v>42499</v>
      </c>
      <c r="F937" s="67" t="s">
        <v>1493</v>
      </c>
      <c r="G937" s="995" t="s">
        <v>1499</v>
      </c>
      <c r="H937" s="350" t="s">
        <v>1048</v>
      </c>
      <c r="I937" s="448"/>
      <c r="J937" s="448"/>
      <c r="K937" s="439"/>
      <c r="L937" s="448"/>
      <c r="M937" s="65">
        <v>2320000</v>
      </c>
      <c r="N937" s="323" t="s">
        <v>101</v>
      </c>
      <c r="O937" s="66" t="s">
        <v>63</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ref="B938" si="94">IF(C938&lt;&gt;"",MONTH(C938),"")</f>
        <v>5</v>
      </c>
      <c r="C938" s="64">
        <v>42502</v>
      </c>
      <c r="D938" s="64" t="s">
        <v>883</v>
      </c>
      <c r="E938" s="64">
        <v>42502</v>
      </c>
      <c r="F938" s="67" t="s">
        <v>1371</v>
      </c>
      <c r="G938" s="995" t="s">
        <v>1505</v>
      </c>
      <c r="H938" s="350" t="s">
        <v>624</v>
      </c>
      <c r="I938" s="448"/>
      <c r="J938" s="448"/>
      <c r="K938" s="439"/>
      <c r="L938" s="448"/>
      <c r="M938" s="65">
        <v>9684997</v>
      </c>
      <c r="N938" s="323" t="s">
        <v>8</v>
      </c>
      <c r="O938" s="66" t="s">
        <v>63</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8"/>
        <v>5</v>
      </c>
      <c r="C939" s="320">
        <v>42503</v>
      </c>
      <c r="D939" s="320" t="s">
        <v>885</v>
      </c>
      <c r="E939" s="320">
        <v>42503</v>
      </c>
      <c r="F939" s="321" t="s">
        <v>1494</v>
      </c>
      <c r="G939" s="999" t="s">
        <v>1500</v>
      </c>
      <c r="H939" s="322" t="s">
        <v>1495</v>
      </c>
      <c r="I939" s="446"/>
      <c r="J939" s="446"/>
      <c r="K939" s="437"/>
      <c r="L939" s="446"/>
      <c r="M939" s="65">
        <v>354533</v>
      </c>
      <c r="N939" s="323" t="s">
        <v>101</v>
      </c>
      <c r="O939" s="323" t="s">
        <v>63</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8"/>
        <v>5</v>
      </c>
      <c r="C940" s="320">
        <v>42503</v>
      </c>
      <c r="D940" s="320" t="s">
        <v>885</v>
      </c>
      <c r="E940" s="320">
        <v>42503</v>
      </c>
      <c r="F940" s="321" t="s">
        <v>1496</v>
      </c>
      <c r="G940" s="999" t="s">
        <v>1500</v>
      </c>
      <c r="H940" s="322" t="s">
        <v>1495</v>
      </c>
      <c r="I940" s="446"/>
      <c r="J940" s="446"/>
      <c r="K940" s="437"/>
      <c r="L940" s="446"/>
      <c r="M940" s="65">
        <v>35453</v>
      </c>
      <c r="N940" s="323" t="s">
        <v>9</v>
      </c>
      <c r="O940" s="323" t="s">
        <v>63</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8"/>
        <v>5</v>
      </c>
      <c r="C941" s="320">
        <v>42506</v>
      </c>
      <c r="D941" s="320" t="s">
        <v>886</v>
      </c>
      <c r="E941" s="320">
        <v>42506</v>
      </c>
      <c r="F941" s="321" t="s">
        <v>1025</v>
      </c>
      <c r="G941" s="999" t="s">
        <v>1501</v>
      </c>
      <c r="H941" s="322" t="s">
        <v>818</v>
      </c>
      <c r="I941" s="446"/>
      <c r="J941" s="446"/>
      <c r="K941" s="437"/>
      <c r="L941" s="446"/>
      <c r="M941" s="65">
        <v>2679909</v>
      </c>
      <c r="N941" s="323" t="s">
        <v>101</v>
      </c>
      <c r="O941" s="323" t="s">
        <v>63</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
      </c>
      <c r="B942" s="63">
        <f t="shared" si="78"/>
        <v>5</v>
      </c>
      <c r="C942" s="320">
        <v>42506</v>
      </c>
      <c r="D942" s="320" t="s">
        <v>886</v>
      </c>
      <c r="E942" s="320">
        <v>42506</v>
      </c>
      <c r="F942" s="321" t="s">
        <v>1026</v>
      </c>
      <c r="G942" s="999" t="s">
        <v>1501</v>
      </c>
      <c r="H942" s="322" t="s">
        <v>818</v>
      </c>
      <c r="I942" s="446"/>
      <c r="J942" s="446"/>
      <c r="K942" s="437"/>
      <c r="L942" s="446"/>
      <c r="M942" s="65">
        <v>267991</v>
      </c>
      <c r="N942" s="323" t="s">
        <v>9</v>
      </c>
      <c r="O942" s="323" t="s">
        <v>63</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
      </c>
      <c r="B943" s="63">
        <f t="shared" ref="B943:B944" si="95">IF(C943&lt;&gt;"",MONTH(C943),"")</f>
        <v>5</v>
      </c>
      <c r="C943" s="320">
        <f t="shared" ref="C943:C950" si="96">E943</f>
        <v>42510</v>
      </c>
      <c r="D943" s="320" t="s">
        <v>887</v>
      </c>
      <c r="E943" s="320">
        <v>42510</v>
      </c>
      <c r="F943" s="321" t="s">
        <v>1025</v>
      </c>
      <c r="G943" s="999" t="s">
        <v>1561</v>
      </c>
      <c r="H943" s="322" t="s">
        <v>818</v>
      </c>
      <c r="I943" s="446"/>
      <c r="J943" s="446"/>
      <c r="K943" s="437"/>
      <c r="L943" s="446"/>
      <c r="M943" s="65">
        <v>871582</v>
      </c>
      <c r="N943" s="323" t="s">
        <v>101</v>
      </c>
      <c r="O943" s="323" t="s">
        <v>63</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
      </c>
      <c r="B944" s="63">
        <f t="shared" si="95"/>
        <v>5</v>
      </c>
      <c r="C944" s="320">
        <f t="shared" si="96"/>
        <v>42510</v>
      </c>
      <c r="D944" s="320" t="s">
        <v>887</v>
      </c>
      <c r="E944" s="320">
        <v>42510</v>
      </c>
      <c r="F944" s="321" t="s">
        <v>1026</v>
      </c>
      <c r="G944" s="999" t="s">
        <v>1561</v>
      </c>
      <c r="H944" s="322" t="s">
        <v>818</v>
      </c>
      <c r="I944" s="446"/>
      <c r="J944" s="446"/>
      <c r="K944" s="437"/>
      <c r="L944" s="446"/>
      <c r="M944" s="65">
        <v>87158</v>
      </c>
      <c r="N944" s="323" t="s">
        <v>9</v>
      </c>
      <c r="O944" s="323" t="s">
        <v>63</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
      </c>
      <c r="B945" s="63">
        <f t="shared" ref="B945:B946" si="97">IF(C945&lt;&gt;"",MONTH(C945),"")</f>
        <v>5</v>
      </c>
      <c r="C945" s="320">
        <f t="shared" si="96"/>
        <v>42513</v>
      </c>
      <c r="D945" s="320" t="s">
        <v>888</v>
      </c>
      <c r="E945" s="320">
        <v>42513</v>
      </c>
      <c r="F945" s="321" t="s">
        <v>641</v>
      </c>
      <c r="G945" s="999" t="s">
        <v>1557</v>
      </c>
      <c r="H945" s="321" t="s">
        <v>1554</v>
      </c>
      <c r="I945" s="446"/>
      <c r="J945" s="446"/>
      <c r="K945" s="437"/>
      <c r="L945" s="446"/>
      <c r="M945" s="65">
        <v>480000</v>
      </c>
      <c r="N945" s="323" t="s">
        <v>101</v>
      </c>
      <c r="O945" s="323" t="s">
        <v>63</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
      </c>
      <c r="B946" s="63">
        <f t="shared" si="97"/>
        <v>5</v>
      </c>
      <c r="C946" s="320">
        <f t="shared" si="96"/>
        <v>42513</v>
      </c>
      <c r="D946" s="320" t="s">
        <v>888</v>
      </c>
      <c r="E946" s="320">
        <v>42513</v>
      </c>
      <c r="F946" s="321" t="s">
        <v>1555</v>
      </c>
      <c r="G946" s="999" t="s">
        <v>1557</v>
      </c>
      <c r="H946" s="321" t="s">
        <v>1554</v>
      </c>
      <c r="I946" s="444"/>
      <c r="J946" s="444"/>
      <c r="K946" s="435"/>
      <c r="L946" s="444"/>
      <c r="M946" s="65">
        <v>24000</v>
      </c>
      <c r="N946" s="323" t="s">
        <v>9</v>
      </c>
      <c r="O946" s="323" t="s">
        <v>63</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
      </c>
      <c r="B947" s="63">
        <f t="shared" ref="B947:B950" si="98">IF(C947&lt;&gt;"",MONTH(C947),"")</f>
        <v>5</v>
      </c>
      <c r="C947" s="320">
        <f t="shared" si="96"/>
        <v>42513</v>
      </c>
      <c r="D947" s="320" t="s">
        <v>889</v>
      </c>
      <c r="E947" s="320">
        <v>42513</v>
      </c>
      <c r="F947" s="321" t="s">
        <v>641</v>
      </c>
      <c r="G947" s="999" t="s">
        <v>1558</v>
      </c>
      <c r="H947" s="321" t="s">
        <v>1554</v>
      </c>
      <c r="I947" s="446"/>
      <c r="J947" s="446"/>
      <c r="K947" s="437"/>
      <c r="L947" s="446"/>
      <c r="M947" s="65">
        <v>300000</v>
      </c>
      <c r="N947" s="323" t="s">
        <v>101</v>
      </c>
      <c r="O947" s="323" t="s">
        <v>63</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
      </c>
      <c r="B948" s="63">
        <f t="shared" si="98"/>
        <v>5</v>
      </c>
      <c r="C948" s="320">
        <f t="shared" si="96"/>
        <v>42513</v>
      </c>
      <c r="D948" s="320" t="s">
        <v>889</v>
      </c>
      <c r="E948" s="320">
        <v>42513</v>
      </c>
      <c r="F948" s="321" t="s">
        <v>1555</v>
      </c>
      <c r="G948" s="999" t="s">
        <v>1558</v>
      </c>
      <c r="H948" s="321" t="s">
        <v>1554</v>
      </c>
      <c r="I948" s="444"/>
      <c r="J948" s="444"/>
      <c r="K948" s="435"/>
      <c r="L948" s="444"/>
      <c r="M948" s="65">
        <v>15000</v>
      </c>
      <c r="N948" s="323" t="s">
        <v>9</v>
      </c>
      <c r="O948" s="323" t="s">
        <v>63</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
      </c>
      <c r="B949" s="63">
        <f t="shared" si="98"/>
        <v>5</v>
      </c>
      <c r="C949" s="320">
        <f t="shared" si="96"/>
        <v>42514</v>
      </c>
      <c r="D949" s="320" t="s">
        <v>890</v>
      </c>
      <c r="E949" s="320">
        <v>42514</v>
      </c>
      <c r="F949" s="321" t="s">
        <v>1025</v>
      </c>
      <c r="G949" s="999" t="s">
        <v>1562</v>
      </c>
      <c r="H949" s="322" t="s">
        <v>818</v>
      </c>
      <c r="I949" s="446"/>
      <c r="J949" s="446"/>
      <c r="K949" s="437"/>
      <c r="L949" s="446"/>
      <c r="M949" s="65">
        <v>1310382</v>
      </c>
      <c r="N949" s="323" t="s">
        <v>101</v>
      </c>
      <c r="O949" s="323" t="s">
        <v>63</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
      </c>
      <c r="B950" s="63">
        <f t="shared" si="98"/>
        <v>5</v>
      </c>
      <c r="C950" s="320">
        <f t="shared" si="96"/>
        <v>42514</v>
      </c>
      <c r="D950" s="320" t="s">
        <v>890</v>
      </c>
      <c r="E950" s="320">
        <v>42514</v>
      </c>
      <c r="F950" s="321" t="s">
        <v>1026</v>
      </c>
      <c r="G950" s="999" t="s">
        <v>1562</v>
      </c>
      <c r="H950" s="322" t="s">
        <v>818</v>
      </c>
      <c r="I950" s="446"/>
      <c r="J950" s="446"/>
      <c r="K950" s="437"/>
      <c r="L950" s="446"/>
      <c r="M950" s="65">
        <v>131038</v>
      </c>
      <c r="N950" s="323" t="s">
        <v>9</v>
      </c>
      <c r="O950" s="323" t="s">
        <v>63</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
      </c>
      <c r="B951" s="63">
        <f t="shared" si="78"/>
        <v>5</v>
      </c>
      <c r="C951" s="320">
        <v>42515</v>
      </c>
      <c r="D951" s="320" t="s">
        <v>891</v>
      </c>
      <c r="E951" s="320">
        <v>42515</v>
      </c>
      <c r="F951" s="321" t="s">
        <v>1153</v>
      </c>
      <c r="G951" s="999" t="s">
        <v>1502</v>
      </c>
      <c r="H951" s="322" t="s">
        <v>1156</v>
      </c>
      <c r="I951" s="446"/>
      <c r="J951" s="446"/>
      <c r="K951" s="437"/>
      <c r="L951" s="446"/>
      <c r="M951" s="65">
        <v>1526660</v>
      </c>
      <c r="N951" s="323" t="s">
        <v>101</v>
      </c>
      <c r="O951" s="323" t="s">
        <v>63</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
      </c>
      <c r="B952" s="63">
        <f t="shared" si="78"/>
        <v>5</v>
      </c>
      <c r="C952" s="320">
        <v>42515</v>
      </c>
      <c r="D952" s="320" t="s">
        <v>891</v>
      </c>
      <c r="E952" s="320">
        <v>42515</v>
      </c>
      <c r="F952" s="321" t="s">
        <v>1154</v>
      </c>
      <c r="G952" s="999" t="s">
        <v>1502</v>
      </c>
      <c r="H952" s="322" t="s">
        <v>1156</v>
      </c>
      <c r="I952" s="446"/>
      <c r="J952" s="446"/>
      <c r="K952" s="437"/>
      <c r="L952" s="446"/>
      <c r="M952" s="65">
        <v>152666</v>
      </c>
      <c r="N952" s="323" t="s">
        <v>9</v>
      </c>
      <c r="O952" s="323" t="s">
        <v>63</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
      </c>
      <c r="B953" s="63">
        <f t="shared" ref="B953:B954" si="99">IF(C953&lt;&gt;"",MONTH(C953),"")</f>
        <v>5</v>
      </c>
      <c r="C953" s="320">
        <f>E953</f>
        <v>42516</v>
      </c>
      <c r="D953" s="320" t="s">
        <v>892</v>
      </c>
      <c r="E953" s="320">
        <v>42516</v>
      </c>
      <c r="F953" s="321" t="s">
        <v>1550</v>
      </c>
      <c r="G953" s="999" t="s">
        <v>1552</v>
      </c>
      <c r="H953" s="322" t="s">
        <v>1553</v>
      </c>
      <c r="I953" s="446"/>
      <c r="J953" s="446"/>
      <c r="K953" s="437"/>
      <c r="L953" s="446"/>
      <c r="M953" s="65">
        <v>462727</v>
      </c>
      <c r="N953" s="323" t="s">
        <v>101</v>
      </c>
      <c r="O953" s="323" t="s">
        <v>63</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
      </c>
      <c r="B954" s="63">
        <f t="shared" si="99"/>
        <v>5</v>
      </c>
      <c r="C954" s="320">
        <f>E954</f>
        <v>42516</v>
      </c>
      <c r="D954" s="320" t="s">
        <v>892</v>
      </c>
      <c r="E954" s="320">
        <v>42516</v>
      </c>
      <c r="F954" s="321" t="s">
        <v>1551</v>
      </c>
      <c r="G954" s="999" t="s">
        <v>1552</v>
      </c>
      <c r="H954" s="322" t="s">
        <v>1553</v>
      </c>
      <c r="I954" s="446"/>
      <c r="J954" s="446"/>
      <c r="K954" s="437"/>
      <c r="L954" s="446"/>
      <c r="M954" s="65">
        <v>46273</v>
      </c>
      <c r="N954" s="323" t="s">
        <v>9</v>
      </c>
      <c r="O954" s="323" t="s">
        <v>63</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
      </c>
      <c r="B955" s="63">
        <f t="shared" si="78"/>
        <v>5</v>
      </c>
      <c r="C955" s="320">
        <v>42517</v>
      </c>
      <c r="D955" s="320" t="s">
        <v>893</v>
      </c>
      <c r="E955" s="320">
        <v>42517</v>
      </c>
      <c r="F955" s="321" t="s">
        <v>1506</v>
      </c>
      <c r="G955" s="999" t="s">
        <v>1509</v>
      </c>
      <c r="H955" s="322" t="s">
        <v>849</v>
      </c>
      <c r="I955" s="446"/>
      <c r="J955" s="446"/>
      <c r="K955" s="437"/>
      <c r="L955" s="446"/>
      <c r="M955" s="65">
        <v>16050000</v>
      </c>
      <c r="N955" s="323" t="s">
        <v>101</v>
      </c>
      <c r="O955" s="323" t="s">
        <v>63</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
      </c>
      <c r="B956" s="63">
        <f t="shared" si="78"/>
        <v>5</v>
      </c>
      <c r="C956" s="320">
        <v>42517</v>
      </c>
      <c r="D956" s="320" t="s">
        <v>893</v>
      </c>
      <c r="E956" s="320">
        <v>42517</v>
      </c>
      <c r="F956" s="321" t="s">
        <v>1507</v>
      </c>
      <c r="G956" s="999" t="s">
        <v>1509</v>
      </c>
      <c r="H956" s="322" t="s">
        <v>849</v>
      </c>
      <c r="I956" s="446"/>
      <c r="J956" s="446"/>
      <c r="K956" s="437"/>
      <c r="L956" s="446"/>
      <c r="M956" s="65">
        <v>1605000</v>
      </c>
      <c r="N956" s="323" t="s">
        <v>9</v>
      </c>
      <c r="O956" s="323" t="s">
        <v>63</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
      </c>
      <c r="B957" s="63">
        <f t="shared" si="78"/>
        <v>5</v>
      </c>
      <c r="C957" s="320">
        <f t="shared" ref="C957:C963" si="100">E957</f>
        <v>42519</v>
      </c>
      <c r="D957" s="320" t="s">
        <v>894</v>
      </c>
      <c r="E957" s="320">
        <v>42519</v>
      </c>
      <c r="F957" s="321" t="s">
        <v>1025</v>
      </c>
      <c r="G957" s="999" t="s">
        <v>1563</v>
      </c>
      <c r="H957" s="322" t="s">
        <v>818</v>
      </c>
      <c r="I957" s="446"/>
      <c r="J957" s="446"/>
      <c r="K957" s="437"/>
      <c r="L957" s="446"/>
      <c r="M957" s="65">
        <v>1591927</v>
      </c>
      <c r="N957" s="323" t="s">
        <v>101</v>
      </c>
      <c r="O957" s="323" t="s">
        <v>63</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
      </c>
      <c r="B958" s="63">
        <f t="shared" si="78"/>
        <v>5</v>
      </c>
      <c r="C958" s="320">
        <f t="shared" si="100"/>
        <v>42519</v>
      </c>
      <c r="D958" s="320" t="s">
        <v>894</v>
      </c>
      <c r="E958" s="320">
        <v>42519</v>
      </c>
      <c r="F958" s="321" t="s">
        <v>1026</v>
      </c>
      <c r="G958" s="999" t="s">
        <v>1563</v>
      </c>
      <c r="H958" s="322" t="s">
        <v>818</v>
      </c>
      <c r="I958" s="446"/>
      <c r="J958" s="446"/>
      <c r="K958" s="437"/>
      <c r="L958" s="446"/>
      <c r="M958" s="65">
        <v>159193</v>
      </c>
      <c r="N958" s="323" t="s">
        <v>9</v>
      </c>
      <c r="O958" s="323" t="s">
        <v>63</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f t="shared" si="78"/>
        <v>5</v>
      </c>
      <c r="C959" s="320">
        <f t="shared" si="100"/>
        <v>42520</v>
      </c>
      <c r="D959" s="320" t="s">
        <v>895</v>
      </c>
      <c r="E959" s="320">
        <v>42520</v>
      </c>
      <c r="F959" s="321" t="s">
        <v>641</v>
      </c>
      <c r="G959" s="999" t="s">
        <v>1556</v>
      </c>
      <c r="H959" s="321" t="s">
        <v>1554</v>
      </c>
      <c r="I959" s="446"/>
      <c r="J959" s="446"/>
      <c r="K959" s="437"/>
      <c r="L959" s="446"/>
      <c r="M959" s="65">
        <v>5040000</v>
      </c>
      <c r="N959" s="323" t="s">
        <v>101</v>
      </c>
      <c r="O959" s="323" t="s">
        <v>63</v>
      </c>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f t="shared" si="78"/>
        <v>5</v>
      </c>
      <c r="C960" s="320">
        <f t="shared" si="100"/>
        <v>42520</v>
      </c>
      <c r="D960" s="320" t="s">
        <v>895</v>
      </c>
      <c r="E960" s="320">
        <v>42520</v>
      </c>
      <c r="F960" s="321" t="s">
        <v>1555</v>
      </c>
      <c r="G960" s="999" t="s">
        <v>1556</v>
      </c>
      <c r="H960" s="321" t="s">
        <v>1554</v>
      </c>
      <c r="I960" s="444"/>
      <c r="J960" s="444"/>
      <c r="K960" s="435"/>
      <c r="L960" s="444"/>
      <c r="M960" s="65">
        <v>252000</v>
      </c>
      <c r="N960" s="323" t="s">
        <v>9</v>
      </c>
      <c r="O960" s="323" t="s">
        <v>63</v>
      </c>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f t="shared" ref="B961" si="101">IF(C961&lt;&gt;"",MONTH(C961),"")</f>
        <v>5</v>
      </c>
      <c r="C961" s="320">
        <f t="shared" ref="C961" si="102">E961</f>
        <v>42520</v>
      </c>
      <c r="D961" s="320" t="s">
        <v>896</v>
      </c>
      <c r="E961" s="320">
        <v>42520</v>
      </c>
      <c r="F961" s="321" t="s">
        <v>1371</v>
      </c>
      <c r="G961" s="999" t="s">
        <v>1545</v>
      </c>
      <c r="H961" s="321" t="s">
        <v>624</v>
      </c>
      <c r="I961" s="444"/>
      <c r="J961" s="444"/>
      <c r="K961" s="435"/>
      <c r="L961" s="444"/>
      <c r="M961" s="65">
        <v>9684958</v>
      </c>
      <c r="N961" s="323" t="s">
        <v>8</v>
      </c>
      <c r="O961" s="323" t="s">
        <v>63</v>
      </c>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f t="shared" ref="B962:B963" si="103">IF(C962&lt;&gt;"",MONTH(C962),"")</f>
        <v>5</v>
      </c>
      <c r="C962" s="320">
        <f t="shared" si="100"/>
        <v>42521</v>
      </c>
      <c r="D962" s="320" t="s">
        <v>897</v>
      </c>
      <c r="E962" s="320">
        <v>42521</v>
      </c>
      <c r="F962" s="321" t="s">
        <v>1025</v>
      </c>
      <c r="G962" s="999" t="s">
        <v>1564</v>
      </c>
      <c r="H962" s="322" t="s">
        <v>818</v>
      </c>
      <c r="I962" s="446"/>
      <c r="J962" s="446"/>
      <c r="K962" s="437"/>
      <c r="L962" s="446"/>
      <c r="M962" s="65">
        <v>503364</v>
      </c>
      <c r="N962" s="323" t="s">
        <v>101</v>
      </c>
      <c r="O962" s="323" t="s">
        <v>63</v>
      </c>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f t="shared" si="103"/>
        <v>5</v>
      </c>
      <c r="C963" s="320">
        <f t="shared" si="100"/>
        <v>42521</v>
      </c>
      <c r="D963" s="320" t="s">
        <v>897</v>
      </c>
      <c r="E963" s="320">
        <v>42521</v>
      </c>
      <c r="F963" s="321" t="s">
        <v>1026</v>
      </c>
      <c r="G963" s="999" t="s">
        <v>1564</v>
      </c>
      <c r="H963" s="322" t="s">
        <v>818</v>
      </c>
      <c r="I963" s="446"/>
      <c r="J963" s="446"/>
      <c r="K963" s="437"/>
      <c r="L963" s="446"/>
      <c r="M963" s="65">
        <v>50336</v>
      </c>
      <c r="N963" s="323" t="s">
        <v>9</v>
      </c>
      <c r="O963" s="323" t="s">
        <v>63</v>
      </c>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f t="shared" si="78"/>
        <v>5</v>
      </c>
      <c r="C964" s="320">
        <v>42521</v>
      </c>
      <c r="D964" s="320" t="s">
        <v>898</v>
      </c>
      <c r="E964" s="320">
        <v>42521</v>
      </c>
      <c r="F964" s="321" t="s">
        <v>1560</v>
      </c>
      <c r="G964" s="999" t="s">
        <v>1559</v>
      </c>
      <c r="H964" s="322" t="s">
        <v>1546</v>
      </c>
      <c r="I964" s="446"/>
      <c r="J964" s="446"/>
      <c r="K964" s="437"/>
      <c r="L964" s="446"/>
      <c r="M964" s="65">
        <v>3000000</v>
      </c>
      <c r="N964" s="323" t="s">
        <v>101</v>
      </c>
      <c r="O964" s="323" t="s">
        <v>63</v>
      </c>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f t="shared" ref="B965:B967" si="104">IF(C965&lt;&gt;"",MONTH(C965),"")</f>
        <v>5</v>
      </c>
      <c r="C965" s="320">
        <v>42521</v>
      </c>
      <c r="D965" s="320" t="s">
        <v>899</v>
      </c>
      <c r="E965" s="320">
        <v>42521</v>
      </c>
      <c r="F965" s="321" t="s">
        <v>1547</v>
      </c>
      <c r="G965" s="999" t="s">
        <v>1549</v>
      </c>
      <c r="H965" s="322" t="s">
        <v>1546</v>
      </c>
      <c r="I965" s="446"/>
      <c r="J965" s="446"/>
      <c r="K965" s="437"/>
      <c r="L965" s="446"/>
      <c r="M965" s="65">
        <v>2000000</v>
      </c>
      <c r="N965" s="323" t="s">
        <v>101</v>
      </c>
      <c r="O965" s="323" t="s">
        <v>63</v>
      </c>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f t="shared" si="104"/>
        <v>5</v>
      </c>
      <c r="C966" s="320">
        <v>42521</v>
      </c>
      <c r="D966" s="320" t="s">
        <v>899</v>
      </c>
      <c r="E966" s="320">
        <v>42521</v>
      </c>
      <c r="F966" s="321" t="s">
        <v>1548</v>
      </c>
      <c r="G966" s="999" t="s">
        <v>1549</v>
      </c>
      <c r="H966" s="322" t="s">
        <v>1546</v>
      </c>
      <c r="I966" s="444"/>
      <c r="J966" s="444"/>
      <c r="K966" s="435"/>
      <c r="L966" s="444"/>
      <c r="M966" s="65">
        <v>200000</v>
      </c>
      <c r="N966" s="323" t="s">
        <v>9</v>
      </c>
      <c r="O966" s="323" t="s">
        <v>63</v>
      </c>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f t="shared" si="104"/>
        <v>5</v>
      </c>
      <c r="C967" s="320">
        <v>42521</v>
      </c>
      <c r="D967" s="320" t="s">
        <v>900</v>
      </c>
      <c r="E967" s="320">
        <v>42521</v>
      </c>
      <c r="F967" s="321" t="s">
        <v>1572</v>
      </c>
      <c r="G967" s="321"/>
      <c r="H967" s="77" t="s">
        <v>627</v>
      </c>
      <c r="I967" s="446"/>
      <c r="J967" s="446"/>
      <c r="K967" s="437"/>
      <c r="L967" s="446"/>
      <c r="M967" s="65">
        <v>990540</v>
      </c>
      <c r="N967" s="323" t="s">
        <v>8</v>
      </c>
      <c r="O967" s="323" t="s">
        <v>63</v>
      </c>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f t="shared" si="78"/>
        <v>5</v>
      </c>
      <c r="C968" s="320">
        <v>42521</v>
      </c>
      <c r="D968" s="320" t="s">
        <v>901</v>
      </c>
      <c r="E968" s="320">
        <v>42521</v>
      </c>
      <c r="F968" s="321" t="s">
        <v>1510</v>
      </c>
      <c r="G968" s="321"/>
      <c r="H968" s="322" t="s">
        <v>1378</v>
      </c>
      <c r="I968" s="446"/>
      <c r="J968" s="446"/>
      <c r="K968" s="437"/>
      <c r="L968" s="446"/>
      <c r="M968" s="65">
        <v>1236364</v>
      </c>
      <c r="N968" s="323" t="s">
        <v>101</v>
      </c>
      <c r="O968" s="323" t="s">
        <v>63</v>
      </c>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customHeight="1">
      <c r="A969" s="342" t="str">
        <f>IF(B969&lt;&gt;"",IF(AND(B969='IN-TC'!$S$4,OR(TH!N969="1111",TH!O969="1111")),TH!D969,""),"")</f>
        <v/>
      </c>
      <c r="B969" s="63">
        <f t="shared" si="78"/>
        <v>5</v>
      </c>
      <c r="C969" s="320">
        <v>42521</v>
      </c>
      <c r="D969" s="320" t="s">
        <v>901</v>
      </c>
      <c r="E969" s="320">
        <v>42521</v>
      </c>
      <c r="F969" s="321" t="s">
        <v>1511</v>
      </c>
      <c r="G969" s="995"/>
      <c r="H969" s="322" t="s">
        <v>1378</v>
      </c>
      <c r="I969" s="444"/>
      <c r="J969" s="444"/>
      <c r="K969" s="435"/>
      <c r="L969" s="444"/>
      <c r="M969" s="65">
        <v>123636</v>
      </c>
      <c r="N969" s="323" t="s">
        <v>9</v>
      </c>
      <c r="O969" s="323" t="s">
        <v>63</v>
      </c>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s="356" customFormat="1" ht="15.75" customHeight="1">
      <c r="A970" s="1164" t="str">
        <f>IF(B970&lt;&gt;"",IF(AND(B970='IN-TC'!$S$4,OR(TH!N970="1111",TH!O970="1111")),TH!D970,""),"")</f>
        <v/>
      </c>
      <c r="B970" s="1165">
        <f t="shared" si="78"/>
        <v>5</v>
      </c>
      <c r="C970" s="1166">
        <v>42521</v>
      </c>
      <c r="D970" s="320" t="s">
        <v>902</v>
      </c>
      <c r="E970" s="1166">
        <v>42521</v>
      </c>
      <c r="F970" s="96" t="s">
        <v>1512</v>
      </c>
      <c r="G970" s="1172"/>
      <c r="H970" s="1169" t="s">
        <v>859</v>
      </c>
      <c r="I970" s="452"/>
      <c r="J970" s="452"/>
      <c r="K970" s="443"/>
      <c r="L970" s="452"/>
      <c r="M970" s="98"/>
      <c r="N970" s="332" t="s">
        <v>595</v>
      </c>
      <c r="O970" s="332" t="s">
        <v>63</v>
      </c>
      <c r="P970" s="86" t="str">
        <f>IF(AND('331-CT'!$E$7=TH!H970,OR(N970="331",O970="331")),"x","")</f>
        <v/>
      </c>
      <c r="Q970" s="86" t="str">
        <f>IF(AND(B970='111'!$L$11,OR($N970=$Q$7,$O970=$Q$7)),"x","")</f>
        <v/>
      </c>
      <c r="R970" s="86" t="str">
        <f>IF(AND($N970=$Q$7,$B970&lt;'111'!$L$11),"x","")</f>
        <v/>
      </c>
      <c r="S970" s="86" t="str">
        <f>IF(AND($O970=$Q$7,$B970&lt;'111'!$L$11),"x","")</f>
        <v/>
      </c>
      <c r="T970" s="86" t="str">
        <f>IF(ISERROR(FIND('112'!$M$9,G970,1)),"",IF((AND(FIND('112'!$M$9,G970,1)&gt;=1,B970='112'!$K$9,OR($N970='112'!$I$6,$O970='112'!$I$6))),"x",""))</f>
        <v/>
      </c>
      <c r="U970" s="86" t="str">
        <f>IF(ISERROR(FIND('112'!$M$9,G970,1)),"",IF((AND(LEFT(G970,2)=LEFT('112'!$M$9,2),B970&lt;'112'!$K$9,$N970='112'!$I$6)),"x",""))</f>
        <v/>
      </c>
      <c r="V970" s="86" t="str">
        <f>IF(ISERROR(FIND('112'!$M$9,G970,1)),"",IF((AND(RIGHT(G970,2)=RIGHT('112'!$M$9,2),B970&lt;'112'!$K$9,$O970='112'!$I$6)),"x",""))</f>
        <v/>
      </c>
      <c r="W970" s="86" t="str">
        <f>IF(AND('341-CT'!$H$9=H970,OR(LEFT(N970,3)=$W$7,LEFT(O970,3)=$W$7)),"x","")</f>
        <v/>
      </c>
      <c r="X970" s="86" t="str">
        <f>IF(OR(TH!N970=TH!$X$7,O970=TH!$X$7),"x","")</f>
        <v/>
      </c>
      <c r="Y970" s="86" t="str">
        <f>IF(AND(OR(N970="131",O970="131"),H970='131-CT'!$H$9),"x","")</f>
        <v/>
      </c>
      <c r="Z970" s="86"/>
      <c r="AA970" s="86" t="str">
        <f>IF(AND(MONTH(E970)='IN-NX'!$J$5,'IN-NX'!$D$7=D970),"x","")</f>
        <v/>
      </c>
      <c r="AB970" s="86" t="str">
        <f>IF(AND(OR(LEFT(TH!N970,2)="15",LEFT(TH!O970,2)="15"),'152-CT'!$J$8=TH!F970),"x","")</f>
        <v/>
      </c>
      <c r="AC970" s="86" t="str">
        <f>IF(AND(OR(LEFT(TH!N970,2)="15",LEFT(TH!O970,2)="15"),TK!$E$7=TH!F970),"x","")</f>
        <v/>
      </c>
      <c r="AD970" s="86" t="str">
        <f>IF(AND(N970="1521",MONTH(C970)='BK-NL'!$M$11),"x","")</f>
        <v/>
      </c>
    </row>
    <row r="971" spans="1:30" ht="15.75" customHeight="1">
      <c r="A971" s="342"/>
      <c r="B971" s="63">
        <f t="shared" si="78"/>
        <v>5</v>
      </c>
      <c r="C971" s="320">
        <v>42502</v>
      </c>
      <c r="D971" s="320" t="s">
        <v>585</v>
      </c>
      <c r="E971" s="320">
        <v>42502</v>
      </c>
      <c r="F971" s="321" t="s">
        <v>642</v>
      </c>
      <c r="G971" s="999" t="s">
        <v>1530</v>
      </c>
      <c r="H971" s="322" t="s">
        <v>633</v>
      </c>
      <c r="I971" s="446"/>
      <c r="J971" s="446"/>
      <c r="K971" s="437"/>
      <c r="L971" s="446"/>
      <c r="M971" s="65">
        <v>2000000</v>
      </c>
      <c r="N971" s="323" t="s">
        <v>594</v>
      </c>
      <c r="O971" s="323" t="s">
        <v>8</v>
      </c>
      <c r="P971" s="85"/>
      <c r="Q971" s="85"/>
      <c r="R971" s="85"/>
      <c r="S971" s="85"/>
      <c r="T971" s="85"/>
      <c r="U971" s="85"/>
      <c r="V971" s="85"/>
      <c r="W971" s="85"/>
      <c r="X971" s="85"/>
      <c r="Y971" s="85"/>
      <c r="Z971" s="85"/>
      <c r="AA971" s="85"/>
      <c r="AB971" s="85"/>
      <c r="AC971" s="85"/>
      <c r="AD971" s="85"/>
    </row>
    <row r="972" spans="1:30" ht="15.75" customHeight="1">
      <c r="A972" s="342"/>
      <c r="B972" s="63">
        <f t="shared" ref="B972" si="105">IF(C972&lt;&gt;"",MONTH(C972),"")</f>
        <v>5</v>
      </c>
      <c r="C972" s="320">
        <v>42502</v>
      </c>
      <c r="D972" s="320" t="s">
        <v>585</v>
      </c>
      <c r="E972" s="320">
        <v>42502</v>
      </c>
      <c r="F972" s="321" t="s">
        <v>643</v>
      </c>
      <c r="G972" s="999" t="s">
        <v>1530</v>
      </c>
      <c r="H972" s="322" t="s">
        <v>633</v>
      </c>
      <c r="I972" s="446"/>
      <c r="J972" s="446"/>
      <c r="K972" s="437"/>
      <c r="L972" s="446"/>
      <c r="M972" s="65">
        <v>200000</v>
      </c>
      <c r="N972" s="323" t="s">
        <v>9</v>
      </c>
      <c r="O972" s="323" t="s">
        <v>8</v>
      </c>
      <c r="P972" s="85"/>
      <c r="Q972" s="85"/>
      <c r="R972" s="85"/>
      <c r="S972" s="85"/>
      <c r="T972" s="85"/>
      <c r="U972" s="85"/>
      <c r="V972" s="85"/>
      <c r="W972" s="85"/>
      <c r="X972" s="85"/>
      <c r="Y972" s="85"/>
      <c r="Z972" s="85"/>
      <c r="AA972" s="85"/>
      <c r="AB972" s="85"/>
      <c r="AC972" s="85"/>
      <c r="AD972" s="85"/>
    </row>
    <row r="973" spans="1:30" ht="15.75" customHeight="1">
      <c r="A973" s="342" t="str">
        <f>IF(B973&lt;&gt;"",IF(AND(B973='IN-TC'!$S$4,OR(TH!N973="1111",TH!O973="1111")),TH!D973,""),"")</f>
        <v/>
      </c>
      <c r="B973" s="63">
        <f t="shared" ref="B973" si="106">IF(C973&lt;&gt;"",MONTH(C973),"")</f>
        <v>5</v>
      </c>
      <c r="C973" s="320">
        <v>42503</v>
      </c>
      <c r="D973" s="320" t="s">
        <v>585</v>
      </c>
      <c r="E973" s="320">
        <v>42503</v>
      </c>
      <c r="F973" s="321" t="s">
        <v>1525</v>
      </c>
      <c r="G973" s="999" t="s">
        <v>1524</v>
      </c>
      <c r="H973" s="322" t="s">
        <v>1523</v>
      </c>
      <c r="I973" s="446"/>
      <c r="J973" s="446"/>
      <c r="K973" s="437"/>
      <c r="L973" s="446"/>
      <c r="M973" s="65">
        <v>18972000</v>
      </c>
      <c r="N973" s="323" t="s">
        <v>594</v>
      </c>
      <c r="O973" s="323" t="s">
        <v>8</v>
      </c>
      <c r="P973" s="85" t="str">
        <f>IF(AND('331-CT'!$E$7=TH!H973,OR(N973="331",O973="331")),"x","")</f>
        <v>x</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f t="shared" si="78"/>
        <v>5</v>
      </c>
      <c r="C974" s="320">
        <v>42503</v>
      </c>
      <c r="D974" s="320" t="s">
        <v>585</v>
      </c>
      <c r="E974" s="320">
        <v>42503</v>
      </c>
      <c r="F974" s="321" t="s">
        <v>1520</v>
      </c>
      <c r="G974" s="999" t="s">
        <v>1522</v>
      </c>
      <c r="H974" s="322" t="s">
        <v>1523</v>
      </c>
      <c r="I974" s="446"/>
      <c r="J974" s="446"/>
      <c r="K974" s="437"/>
      <c r="L974" s="446"/>
      <c r="M974" s="65">
        <v>8503920</v>
      </c>
      <c r="N974" s="323" t="s">
        <v>594</v>
      </c>
      <c r="O974" s="323" t="s">
        <v>8</v>
      </c>
      <c r="P974" s="85" t="str">
        <f>IF(AND('331-CT'!$E$7=TH!H974,OR(N974="331",O974="331")),"x","")</f>
        <v>x</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f t="shared" si="78"/>
        <v>5</v>
      </c>
      <c r="C975" s="320">
        <v>42503</v>
      </c>
      <c r="D975" s="320" t="s">
        <v>585</v>
      </c>
      <c r="E975" s="320">
        <v>42503</v>
      </c>
      <c r="F975" s="321" t="s">
        <v>1521</v>
      </c>
      <c r="G975" s="999" t="s">
        <v>1522</v>
      </c>
      <c r="H975" s="322" t="s">
        <v>1523</v>
      </c>
      <c r="I975" s="446"/>
      <c r="J975" s="446"/>
      <c r="K975" s="437"/>
      <c r="L975" s="446"/>
      <c r="M975" s="65">
        <v>850392</v>
      </c>
      <c r="N975" s="323" t="s">
        <v>9</v>
      </c>
      <c r="O975" s="323" t="s">
        <v>8</v>
      </c>
      <c r="P975" s="85" t="str">
        <f>IF(AND('331-CT'!$E$7=TH!H975,OR(N975="331",O975="331")),"x","")</f>
        <v>x</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f t="shared" si="78"/>
        <v>5</v>
      </c>
      <c r="C976" s="320">
        <v>42504</v>
      </c>
      <c r="D976" s="320" t="s">
        <v>585</v>
      </c>
      <c r="E976" s="320">
        <v>42504</v>
      </c>
      <c r="F976" s="321" t="s">
        <v>1525</v>
      </c>
      <c r="G976" s="999" t="s">
        <v>1529</v>
      </c>
      <c r="H976" s="322" t="s">
        <v>1523</v>
      </c>
      <c r="I976" s="446"/>
      <c r="J976" s="446"/>
      <c r="K976" s="437"/>
      <c r="L976" s="446"/>
      <c r="M976" s="65">
        <v>9382800</v>
      </c>
      <c r="N976" s="323" t="s">
        <v>594</v>
      </c>
      <c r="O976" s="323" t="s">
        <v>8</v>
      </c>
      <c r="P976" s="85" t="str">
        <f>IF(AND('331-CT'!$E$7=TH!H976,OR(N976="331",O976="331")),"x","")</f>
        <v>x</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f t="shared" ref="B977:B978" si="107">IF(C977&lt;&gt;"",MONTH(C977),"")</f>
        <v>5</v>
      </c>
      <c r="C977" s="320">
        <v>42504</v>
      </c>
      <c r="D977" s="320" t="s">
        <v>585</v>
      </c>
      <c r="E977" s="320">
        <v>42504</v>
      </c>
      <c r="F977" s="321" t="s">
        <v>1526</v>
      </c>
      <c r="G977" s="999" t="s">
        <v>1528</v>
      </c>
      <c r="H977" s="322" t="s">
        <v>1523</v>
      </c>
      <c r="I977" s="446"/>
      <c r="J977" s="446"/>
      <c r="K977" s="437"/>
      <c r="L977" s="446"/>
      <c r="M977" s="65">
        <v>7841340</v>
      </c>
      <c r="N977" s="323" t="s">
        <v>594</v>
      </c>
      <c r="O977" s="323" t="s">
        <v>8</v>
      </c>
      <c r="P977" s="85" t="str">
        <f>IF(AND('331-CT'!$E$7=TH!H977,OR(N977="331",O977="331")),"x","")</f>
        <v>x</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f t="shared" si="107"/>
        <v>5</v>
      </c>
      <c r="C978" s="320">
        <v>42504</v>
      </c>
      <c r="D978" s="320" t="s">
        <v>585</v>
      </c>
      <c r="E978" s="320">
        <v>42504</v>
      </c>
      <c r="F978" s="321" t="s">
        <v>1527</v>
      </c>
      <c r="G978" s="999" t="s">
        <v>1528</v>
      </c>
      <c r="H978" s="322" t="s">
        <v>1523</v>
      </c>
      <c r="I978" s="446"/>
      <c r="J978" s="446"/>
      <c r="K978" s="437"/>
      <c r="L978" s="446"/>
      <c r="M978" s="65">
        <v>784134</v>
      </c>
      <c r="N978" s="323" t="s">
        <v>9</v>
      </c>
      <c r="O978" s="323" t="s">
        <v>8</v>
      </c>
      <c r="P978" s="85" t="str">
        <f>IF(AND('331-CT'!$E$7=TH!H978,OR(N978="331",O978="331")),"x","")</f>
        <v>x</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f t="shared" ref="B979:B984" si="108">IF(C979&lt;&gt;"",MONTH(C979),"")</f>
        <v>5</v>
      </c>
      <c r="C979" s="320">
        <v>42521</v>
      </c>
      <c r="D979" s="320" t="s">
        <v>585</v>
      </c>
      <c r="E979" s="320">
        <v>42496</v>
      </c>
      <c r="F979" s="321" t="s">
        <v>1514</v>
      </c>
      <c r="G979" s="999" t="s">
        <v>1580</v>
      </c>
      <c r="H979" s="322" t="s">
        <v>635</v>
      </c>
      <c r="I979" s="446"/>
      <c r="J979" s="446"/>
      <c r="K979" s="437"/>
      <c r="L979" s="446"/>
      <c r="M979" s="65">
        <v>25896900</v>
      </c>
      <c r="N979" s="323" t="s">
        <v>283</v>
      </c>
      <c r="O979" s="323" t="s">
        <v>8</v>
      </c>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t="str">
        <f>IF(B980&lt;&gt;"",IF(AND(B980='IN-TC'!$S$4,OR(TH!N980="1111",TH!O980="1111")),TH!D980,""),"")</f>
        <v/>
      </c>
      <c r="B980" s="63">
        <f t="shared" si="108"/>
        <v>5</v>
      </c>
      <c r="C980" s="320">
        <v>42521</v>
      </c>
      <c r="D980" s="320" t="s">
        <v>585</v>
      </c>
      <c r="E980" s="320">
        <v>42496</v>
      </c>
      <c r="F980" s="321" t="s">
        <v>1515</v>
      </c>
      <c r="G980" s="999" t="s">
        <v>1580</v>
      </c>
      <c r="H980" s="322" t="s">
        <v>635</v>
      </c>
      <c r="I980" s="446"/>
      <c r="J980" s="446"/>
      <c r="K980" s="437"/>
      <c r="L980" s="446"/>
      <c r="M980" s="65">
        <v>2589690</v>
      </c>
      <c r="N980" s="323" t="s">
        <v>9</v>
      </c>
      <c r="O980" s="323" t="s">
        <v>8</v>
      </c>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customHeight="1">
      <c r="A981" s="342"/>
      <c r="B981" s="63">
        <f t="shared" si="108"/>
        <v>5</v>
      </c>
      <c r="C981" s="320">
        <v>42521</v>
      </c>
      <c r="D981" s="320" t="s">
        <v>585</v>
      </c>
      <c r="E981" s="320">
        <v>42506</v>
      </c>
      <c r="F981" s="321" t="s">
        <v>1516</v>
      </c>
      <c r="G981" s="999" t="s">
        <v>1581</v>
      </c>
      <c r="H981" s="322" t="s">
        <v>635</v>
      </c>
      <c r="I981" s="446"/>
      <c r="J981" s="446"/>
      <c r="K981" s="437"/>
      <c r="L981" s="446"/>
      <c r="M981" s="65">
        <v>32111500</v>
      </c>
      <c r="N981" s="323" t="s">
        <v>283</v>
      </c>
      <c r="O981" s="323" t="s">
        <v>8</v>
      </c>
      <c r="P981" s="85"/>
      <c r="Q981" s="85"/>
      <c r="R981" s="85"/>
      <c r="S981" s="85"/>
      <c r="T981" s="85"/>
      <c r="U981" s="85"/>
      <c r="V981" s="85"/>
      <c r="W981" s="85"/>
      <c r="X981" s="85"/>
      <c r="Y981" s="85"/>
      <c r="Z981" s="85"/>
      <c r="AA981" s="85"/>
      <c r="AB981" s="85"/>
      <c r="AC981" s="85"/>
      <c r="AD981" s="85"/>
    </row>
    <row r="982" spans="1:30" ht="15.75" customHeight="1">
      <c r="A982" s="342"/>
      <c r="B982" s="63">
        <f t="shared" si="108"/>
        <v>5</v>
      </c>
      <c r="C982" s="320">
        <v>42521</v>
      </c>
      <c r="D982" s="320" t="s">
        <v>585</v>
      </c>
      <c r="E982" s="320">
        <v>42506</v>
      </c>
      <c r="F982" s="321" t="s">
        <v>1517</v>
      </c>
      <c r="G982" s="999" t="s">
        <v>1581</v>
      </c>
      <c r="H982" s="322" t="s">
        <v>635</v>
      </c>
      <c r="I982" s="446"/>
      <c r="J982" s="446"/>
      <c r="K982" s="437"/>
      <c r="L982" s="446"/>
      <c r="M982" s="65">
        <v>3211150</v>
      </c>
      <c r="N982" s="323" t="s">
        <v>9</v>
      </c>
      <c r="O982" s="323" t="s">
        <v>8</v>
      </c>
      <c r="P982" s="85"/>
      <c r="Q982" s="85"/>
      <c r="R982" s="85"/>
      <c r="S982" s="85"/>
      <c r="T982" s="85"/>
      <c r="U982" s="85"/>
      <c r="V982" s="85"/>
      <c r="W982" s="85"/>
      <c r="X982" s="85"/>
      <c r="Y982" s="85"/>
      <c r="Z982" s="85"/>
      <c r="AA982" s="85"/>
      <c r="AB982" s="85"/>
      <c r="AC982" s="85"/>
      <c r="AD982" s="85"/>
    </row>
    <row r="983" spans="1:30" ht="15.75" customHeight="1">
      <c r="A983" s="342"/>
      <c r="B983" s="63">
        <f t="shared" si="108"/>
        <v>5</v>
      </c>
      <c r="C983" s="320">
        <v>42521</v>
      </c>
      <c r="D983" s="320" t="s">
        <v>585</v>
      </c>
      <c r="E983" s="320">
        <v>42516</v>
      </c>
      <c r="F983" s="321" t="s">
        <v>1518</v>
      </c>
      <c r="G983" s="999" t="s">
        <v>1582</v>
      </c>
      <c r="H983" s="322" t="s">
        <v>635</v>
      </c>
      <c r="I983" s="446"/>
      <c r="J983" s="446"/>
      <c r="K983" s="437"/>
      <c r="L983" s="446"/>
      <c r="M983" s="65">
        <v>28480300</v>
      </c>
      <c r="N983" s="323" t="s">
        <v>283</v>
      </c>
      <c r="O983" s="323" t="s">
        <v>8</v>
      </c>
      <c r="P983" s="85"/>
      <c r="Q983" s="85"/>
      <c r="R983" s="85"/>
      <c r="S983" s="85"/>
      <c r="T983" s="85"/>
      <c r="U983" s="85"/>
      <c r="V983" s="85"/>
      <c r="W983" s="85"/>
      <c r="X983" s="85"/>
      <c r="Y983" s="85"/>
      <c r="Z983" s="85"/>
      <c r="AA983" s="85"/>
      <c r="AB983" s="85"/>
      <c r="AC983" s="85"/>
      <c r="AD983" s="85"/>
    </row>
    <row r="984" spans="1:30" ht="15.75" customHeight="1">
      <c r="A984" s="342"/>
      <c r="B984" s="63">
        <f t="shared" si="108"/>
        <v>5</v>
      </c>
      <c r="C984" s="320">
        <v>42521</v>
      </c>
      <c r="D984" s="320" t="s">
        <v>585</v>
      </c>
      <c r="E984" s="320">
        <v>42516</v>
      </c>
      <c r="F984" s="321" t="s">
        <v>1519</v>
      </c>
      <c r="G984" s="999" t="s">
        <v>1582</v>
      </c>
      <c r="H984" s="322" t="s">
        <v>635</v>
      </c>
      <c r="I984" s="446"/>
      <c r="J984" s="446"/>
      <c r="K984" s="437"/>
      <c r="L984" s="446"/>
      <c r="M984" s="65">
        <v>2848030</v>
      </c>
      <c r="N984" s="323" t="s">
        <v>9</v>
      </c>
      <c r="O984" s="323" t="s">
        <v>8</v>
      </c>
      <c r="P984" s="85"/>
      <c r="Q984" s="85"/>
      <c r="R984" s="85"/>
      <c r="S984" s="85"/>
      <c r="T984" s="85"/>
      <c r="U984" s="85"/>
      <c r="V984" s="85"/>
      <c r="W984" s="85"/>
      <c r="X984" s="85"/>
      <c r="Y984" s="85"/>
      <c r="Z984" s="85"/>
      <c r="AA984" s="85"/>
      <c r="AB984" s="85"/>
      <c r="AC984" s="85"/>
      <c r="AD984" s="85"/>
    </row>
    <row r="985" spans="1:30" ht="15.75" customHeight="1">
      <c r="A985" s="342" t="str">
        <f>IF(B985&lt;&gt;"",IF(AND(B985='IN-TC'!$S$4,OR(TH!N985="1111",TH!O985="1111")),TH!D985,""),"")</f>
        <v/>
      </c>
      <c r="B985" s="63">
        <f t="shared" si="78"/>
        <v>5</v>
      </c>
      <c r="C985" s="320">
        <v>42499</v>
      </c>
      <c r="D985" s="320" t="s">
        <v>680</v>
      </c>
      <c r="E985" s="320">
        <v>42499</v>
      </c>
      <c r="F985" s="321" t="s">
        <v>1531</v>
      </c>
      <c r="G985" s="999" t="s">
        <v>1536</v>
      </c>
      <c r="H985" s="322" t="s">
        <v>626</v>
      </c>
      <c r="I985" s="446">
        <v>123</v>
      </c>
      <c r="J985" s="446">
        <v>13000</v>
      </c>
      <c r="K985" s="437"/>
      <c r="L985" s="446"/>
      <c r="M985" s="65">
        <f>ROUND(I985*J985,0)</f>
        <v>1599000</v>
      </c>
      <c r="N985" s="323" t="s">
        <v>277</v>
      </c>
      <c r="O985" s="323" t="s">
        <v>8</v>
      </c>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f t="shared" ref="B986:B991" si="109">IF(C986&lt;&gt;"",MONTH(C986),"")</f>
        <v>5</v>
      </c>
      <c r="C986" s="320">
        <v>42499</v>
      </c>
      <c r="D986" s="320" t="s">
        <v>680</v>
      </c>
      <c r="E986" s="320">
        <v>42499</v>
      </c>
      <c r="F986" s="321" t="s">
        <v>1532</v>
      </c>
      <c r="G986" s="999" t="s">
        <v>1536</v>
      </c>
      <c r="H986" s="322" t="s">
        <v>626</v>
      </c>
      <c r="I986" s="446">
        <v>62</v>
      </c>
      <c r="J986" s="446">
        <v>13000</v>
      </c>
      <c r="K986" s="437"/>
      <c r="L986" s="446"/>
      <c r="M986" s="65">
        <f t="shared" ref="M986:M994" si="110">ROUND(I986*J986,0)</f>
        <v>806000</v>
      </c>
      <c r="N986" s="323" t="s">
        <v>277</v>
      </c>
      <c r="O986" s="323" t="s">
        <v>8</v>
      </c>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f t="shared" si="109"/>
        <v>5</v>
      </c>
      <c r="C987" s="320">
        <v>42499</v>
      </c>
      <c r="D987" s="320" t="s">
        <v>680</v>
      </c>
      <c r="E987" s="320">
        <v>42499</v>
      </c>
      <c r="F987" s="321" t="s">
        <v>391</v>
      </c>
      <c r="G987" s="999" t="s">
        <v>1536</v>
      </c>
      <c r="H987" s="322" t="s">
        <v>626</v>
      </c>
      <c r="I987" s="446">
        <v>321</v>
      </c>
      <c r="J987" s="446">
        <v>13500</v>
      </c>
      <c r="K987" s="437"/>
      <c r="L987" s="446"/>
      <c r="M987" s="65">
        <f t="shared" si="110"/>
        <v>4333500</v>
      </c>
      <c r="N987" s="323" t="s">
        <v>277</v>
      </c>
      <c r="O987" s="323" t="s">
        <v>8</v>
      </c>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88" spans="1:30" ht="15.75" customHeight="1">
      <c r="A988" s="342" t="str">
        <f>IF(B988&lt;&gt;"",IF(AND(B988='IN-TC'!$S$4,OR(TH!N988="1111",TH!O988="1111")),TH!D988,""),"")</f>
        <v/>
      </c>
      <c r="B988" s="63">
        <f t="shared" si="109"/>
        <v>5</v>
      </c>
      <c r="C988" s="320">
        <v>42499</v>
      </c>
      <c r="D988" s="320" t="s">
        <v>680</v>
      </c>
      <c r="E988" s="320">
        <v>42499</v>
      </c>
      <c r="F988" s="321" t="s">
        <v>1533</v>
      </c>
      <c r="G988" s="999" t="s">
        <v>1536</v>
      </c>
      <c r="H988" s="322" t="s">
        <v>626</v>
      </c>
      <c r="I988" s="446">
        <v>904</v>
      </c>
      <c r="J988" s="446">
        <v>21347</v>
      </c>
      <c r="K988" s="437"/>
      <c r="L988" s="446"/>
      <c r="M988" s="65">
        <f t="shared" si="110"/>
        <v>19297688</v>
      </c>
      <c r="N988" s="323" t="s">
        <v>277</v>
      </c>
      <c r="O988" s="323" t="s">
        <v>8</v>
      </c>
      <c r="P988" s="85" t="str">
        <f>IF(AND('331-CT'!$E$7=TH!H988,OR(N988="331",O988="331")),"x","")</f>
        <v/>
      </c>
      <c r="Q988" s="85" t="str">
        <f>IF(AND(B988='111'!$L$11,OR($N988=$Q$7,$O988=$Q$7)),"x","")</f>
        <v/>
      </c>
      <c r="R988" s="85" t="str">
        <f>IF(AND($N988=$Q$7,$B988&lt;'111'!$L$11),"x","")</f>
        <v/>
      </c>
      <c r="S988" s="85" t="str">
        <f>IF(AND($O988=$Q$7,$B988&lt;'111'!$L$11),"x","")</f>
        <v/>
      </c>
      <c r="T988" s="85" t="str">
        <f>IF(ISERROR(FIND('112'!$M$9,G988,1)),"",IF((AND(FIND('112'!$M$9,G988,1)&gt;=1,B988='112'!$K$9,OR($N988='112'!$I$6,$O988='112'!$I$6))),"x",""))</f>
        <v/>
      </c>
      <c r="U988" s="85" t="str">
        <f>IF(ISERROR(FIND('112'!$M$9,G988,1)),"",IF((AND(LEFT(G988,2)=LEFT('112'!$M$9,2),B988&lt;'112'!$K$9,$N988='112'!$I$6)),"x",""))</f>
        <v/>
      </c>
      <c r="V988" s="85" t="str">
        <f>IF(ISERROR(FIND('112'!$M$9,G988,1)),"",IF((AND(RIGHT(G988,2)=RIGHT('112'!$M$9,2),B988&lt;'112'!$K$9,$O988='112'!$I$6)),"x",""))</f>
        <v/>
      </c>
      <c r="W988" s="85" t="str">
        <f>IF(AND('341-CT'!$H$9=H988,OR(LEFT(N988,3)=$W$7,LEFT(O988,3)=$W$7)),"x","")</f>
        <v/>
      </c>
      <c r="X988" s="85" t="str">
        <f>IF(OR(TH!N988=TH!$X$7,O988=TH!$X$7),"x","")</f>
        <v/>
      </c>
      <c r="Y988" s="85" t="str">
        <f>IF(AND(OR(N988="131",O988="131"),H988='131-CT'!$H$9),"x","")</f>
        <v/>
      </c>
      <c r="Z988" s="85"/>
      <c r="AA988" s="85" t="str">
        <f>IF(AND(MONTH(E988)='IN-NX'!$J$5,'IN-NX'!$D$7=D988),"x","")</f>
        <v/>
      </c>
      <c r="AB988" s="85" t="str">
        <f>IF(AND(OR(LEFT(TH!N988,2)="15",LEFT(TH!O988,2)="15"),'152-CT'!$J$8=TH!F988),"x","")</f>
        <v/>
      </c>
      <c r="AC988" s="85" t="str">
        <f>IF(AND(OR(LEFT(TH!N988,2)="15",LEFT(TH!O988,2)="15"),TK!$E$7=TH!F988),"x","")</f>
        <v/>
      </c>
      <c r="AD988" s="85" t="str">
        <f>IF(AND(N988="1521",MONTH(C988)='BK-NL'!$M$11),"x","")</f>
        <v/>
      </c>
    </row>
    <row r="989" spans="1:30" ht="15.75" customHeight="1">
      <c r="A989" s="342" t="str">
        <f>IF(B989&lt;&gt;"",IF(AND(B989='IN-TC'!$S$4,OR(TH!N989="1111",TH!O989="1111")),TH!D989,""),"")</f>
        <v/>
      </c>
      <c r="B989" s="63">
        <f t="shared" si="109"/>
        <v>5</v>
      </c>
      <c r="C989" s="320">
        <v>42499</v>
      </c>
      <c r="D989" s="320" t="s">
        <v>680</v>
      </c>
      <c r="E989" s="320">
        <v>42499</v>
      </c>
      <c r="F989" s="321" t="s">
        <v>1534</v>
      </c>
      <c r="G989" s="999" t="s">
        <v>1536</v>
      </c>
      <c r="H989" s="322" t="s">
        <v>626</v>
      </c>
      <c r="I989" s="446">
        <v>72</v>
      </c>
      <c r="J989" s="446">
        <v>21347</v>
      </c>
      <c r="K989" s="437"/>
      <c r="L989" s="446"/>
      <c r="M989" s="65">
        <f t="shared" si="110"/>
        <v>1536984</v>
      </c>
      <c r="N989" s="323" t="s">
        <v>277</v>
      </c>
      <c r="O989" s="323" t="s">
        <v>8</v>
      </c>
      <c r="P989" s="85" t="str">
        <f>IF(AND('331-CT'!$E$7=TH!H989,OR(N989="331",O989="331")),"x","")</f>
        <v/>
      </c>
      <c r="Q989" s="85" t="str">
        <f>IF(AND(B989='111'!$L$11,OR($N989=$Q$7,$O989=$Q$7)),"x","")</f>
        <v/>
      </c>
      <c r="R989" s="85" t="str">
        <f>IF(AND($N989=$Q$7,$B989&lt;'111'!$L$11),"x","")</f>
        <v/>
      </c>
      <c r="S989" s="85" t="str">
        <f>IF(AND($O989=$Q$7,$B989&lt;'111'!$L$11),"x","")</f>
        <v/>
      </c>
      <c r="T989" s="85" t="str">
        <f>IF(ISERROR(FIND('112'!$M$9,G989,1)),"",IF((AND(FIND('112'!$M$9,G989,1)&gt;=1,B989='112'!$K$9,OR($N989='112'!$I$6,$O989='112'!$I$6))),"x",""))</f>
        <v/>
      </c>
      <c r="U989" s="85" t="str">
        <f>IF(ISERROR(FIND('112'!$M$9,G989,1)),"",IF((AND(LEFT(G989,2)=LEFT('112'!$M$9,2),B989&lt;'112'!$K$9,$N989='112'!$I$6)),"x",""))</f>
        <v/>
      </c>
      <c r="V989" s="85" t="str">
        <f>IF(ISERROR(FIND('112'!$M$9,G989,1)),"",IF((AND(RIGHT(G989,2)=RIGHT('112'!$M$9,2),B989&lt;'112'!$K$9,$O989='112'!$I$6)),"x",""))</f>
        <v/>
      </c>
      <c r="W989" s="85" t="str">
        <f>IF(AND('341-CT'!$H$9=H989,OR(LEFT(N989,3)=$W$7,LEFT(O989,3)=$W$7)),"x","")</f>
        <v/>
      </c>
      <c r="X989" s="85" t="str">
        <f>IF(OR(TH!N989=TH!$X$7,O989=TH!$X$7),"x","")</f>
        <v/>
      </c>
      <c r="Y989" s="85" t="str">
        <f>IF(AND(OR(N989="131",O989="131"),H989='131-CT'!$H$9),"x","")</f>
        <v/>
      </c>
      <c r="Z989" s="85"/>
      <c r="AA989" s="85" t="str">
        <f>IF(AND(MONTH(E989)='IN-NX'!$J$5,'IN-NX'!$D$7=D989),"x","")</f>
        <v/>
      </c>
      <c r="AB989" s="85" t="str">
        <f>IF(AND(OR(LEFT(TH!N989,2)="15",LEFT(TH!O989,2)="15"),'152-CT'!$J$8=TH!F989),"x","")</f>
        <v/>
      </c>
      <c r="AC989" s="85" t="str">
        <f>IF(AND(OR(LEFT(TH!N989,2)="15",LEFT(TH!O989,2)="15"),TK!$E$7=TH!F989),"x","")</f>
        <v/>
      </c>
      <c r="AD989" s="85" t="str">
        <f>IF(AND(N989="1521",MONTH(C989)='BK-NL'!$M$11),"x","")</f>
        <v/>
      </c>
    </row>
    <row r="990" spans="1:30" ht="15.75" customHeight="1">
      <c r="A990" s="342" t="str">
        <f>IF(B990&lt;&gt;"",IF(AND(B990='IN-TC'!$S$4,OR(TH!N990="1111",TH!O990="1111")),TH!D990,""),"")</f>
        <v/>
      </c>
      <c r="B990" s="63">
        <f t="shared" si="109"/>
        <v>5</v>
      </c>
      <c r="C990" s="320">
        <v>42499</v>
      </c>
      <c r="D990" s="320" t="s">
        <v>680</v>
      </c>
      <c r="E990" s="320">
        <v>42499</v>
      </c>
      <c r="F990" s="321" t="s">
        <v>1535</v>
      </c>
      <c r="G990" s="999" t="s">
        <v>1536</v>
      </c>
      <c r="H990" s="322" t="s">
        <v>626</v>
      </c>
      <c r="I990" s="446">
        <v>132</v>
      </c>
      <c r="J990" s="446">
        <v>21347</v>
      </c>
      <c r="K990" s="437"/>
      <c r="L990" s="446"/>
      <c r="M990" s="65">
        <f t="shared" si="110"/>
        <v>2817804</v>
      </c>
      <c r="N990" s="323" t="s">
        <v>277</v>
      </c>
      <c r="O990" s="323" t="s">
        <v>8</v>
      </c>
      <c r="P990" s="85" t="str">
        <f>IF(AND('331-CT'!$E$7=TH!H990,OR(N990="331",O990="331")),"x","")</f>
        <v/>
      </c>
      <c r="Q990" s="85" t="str">
        <f>IF(AND(B990='111'!$L$11,OR($N990=$Q$7,$O990=$Q$7)),"x","")</f>
        <v/>
      </c>
      <c r="R990" s="85" t="str">
        <f>IF(AND($N990=$Q$7,$B990&lt;'111'!$L$11),"x","")</f>
        <v/>
      </c>
      <c r="S990" s="85" t="str">
        <f>IF(AND($O990=$Q$7,$B990&lt;'111'!$L$11),"x","")</f>
        <v/>
      </c>
      <c r="T990" s="85" t="str">
        <f>IF(ISERROR(FIND('112'!$M$9,G990,1)),"",IF((AND(FIND('112'!$M$9,G990,1)&gt;=1,B990='112'!$K$9,OR($N990='112'!$I$6,$O990='112'!$I$6))),"x",""))</f>
        <v/>
      </c>
      <c r="U990" s="85" t="str">
        <f>IF(ISERROR(FIND('112'!$M$9,G990,1)),"",IF((AND(LEFT(G990,2)=LEFT('112'!$M$9,2),B990&lt;'112'!$K$9,$N990='112'!$I$6)),"x",""))</f>
        <v/>
      </c>
      <c r="V990" s="85" t="str">
        <f>IF(ISERROR(FIND('112'!$M$9,G990,1)),"",IF((AND(RIGHT(G990,2)=RIGHT('112'!$M$9,2),B990&lt;'112'!$K$9,$O990='112'!$I$6)),"x",""))</f>
        <v/>
      </c>
      <c r="W990" s="85" t="str">
        <f>IF(AND('341-CT'!$H$9=H990,OR(LEFT(N990,3)=$W$7,LEFT(O990,3)=$W$7)),"x","")</f>
        <v/>
      </c>
      <c r="X990" s="85" t="str">
        <f>IF(OR(TH!N990=TH!$X$7,O990=TH!$X$7),"x","")</f>
        <v/>
      </c>
      <c r="Y990" s="85" t="str">
        <f>IF(AND(OR(N990="131",O990="131"),H990='131-CT'!$H$9),"x","")</f>
        <v/>
      </c>
      <c r="Z990" s="85"/>
      <c r="AA990" s="85" t="str">
        <f>IF(AND(MONTH(E990)='IN-NX'!$J$5,'IN-NX'!$D$7=D990),"x","")</f>
        <v/>
      </c>
      <c r="AB990" s="85" t="str">
        <f>IF(AND(OR(LEFT(TH!N990,2)="15",LEFT(TH!O990,2)="15"),'152-CT'!$J$8=TH!F990),"x","")</f>
        <v/>
      </c>
      <c r="AC990" s="85" t="str">
        <f>IF(AND(OR(LEFT(TH!N990,2)="15",LEFT(TH!O990,2)="15"),TK!$E$7=TH!F990),"x","")</f>
        <v/>
      </c>
      <c r="AD990" s="85" t="str">
        <f>IF(AND(N990="1521",MONTH(C990)='BK-NL'!$M$11),"x","")</f>
        <v/>
      </c>
    </row>
    <row r="991" spans="1:30" ht="15.75" customHeight="1">
      <c r="A991" s="342" t="str">
        <f>IF(B991&lt;&gt;"",IF(AND(B991='IN-TC'!$S$4,OR(TH!N991="1111",TH!O991="1111")),TH!D991,""),"")</f>
        <v/>
      </c>
      <c r="B991" s="63">
        <f t="shared" si="109"/>
        <v>5</v>
      </c>
      <c r="C991" s="320">
        <v>42499</v>
      </c>
      <c r="D991" s="320" t="s">
        <v>680</v>
      </c>
      <c r="E991" s="320">
        <v>42499</v>
      </c>
      <c r="F991" s="321" t="s">
        <v>655</v>
      </c>
      <c r="G991" s="999" t="s">
        <v>1536</v>
      </c>
      <c r="H991" s="322" t="s">
        <v>626</v>
      </c>
      <c r="I991" s="446"/>
      <c r="J991" s="446"/>
      <c r="K991" s="437"/>
      <c r="L991" s="446"/>
      <c r="M991" s="65">
        <v>3039098</v>
      </c>
      <c r="N991" s="323" t="s">
        <v>9</v>
      </c>
      <c r="O991" s="323" t="s">
        <v>8</v>
      </c>
      <c r="P991" s="85" t="str">
        <f>IF(AND('331-CT'!$E$7=TH!H991,OR(N991="331",O991="331")),"x","")</f>
        <v/>
      </c>
      <c r="Q991" s="85" t="str">
        <f>IF(AND(B991='111'!$L$11,OR($N991=$Q$7,$O991=$Q$7)),"x","")</f>
        <v/>
      </c>
      <c r="R991" s="85" t="str">
        <f>IF(AND($N991=$Q$7,$B991&lt;'111'!$L$11),"x","")</f>
        <v/>
      </c>
      <c r="S991" s="85" t="str">
        <f>IF(AND($O991=$Q$7,$B991&lt;'111'!$L$11),"x","")</f>
        <v/>
      </c>
      <c r="T991" s="85" t="str">
        <f>IF(ISERROR(FIND('112'!$M$9,G991,1)),"",IF((AND(FIND('112'!$M$9,G991,1)&gt;=1,B991='112'!$K$9,OR($N991='112'!$I$6,$O991='112'!$I$6))),"x",""))</f>
        <v/>
      </c>
      <c r="U991" s="85" t="str">
        <f>IF(ISERROR(FIND('112'!$M$9,G991,1)),"",IF((AND(LEFT(G991,2)=LEFT('112'!$M$9,2),B991&lt;'112'!$K$9,$N991='112'!$I$6)),"x",""))</f>
        <v/>
      </c>
      <c r="V991" s="85" t="str">
        <f>IF(ISERROR(FIND('112'!$M$9,G991,1)),"",IF((AND(RIGHT(G991,2)=RIGHT('112'!$M$9,2),B991&lt;'112'!$K$9,$O991='112'!$I$6)),"x",""))</f>
        <v/>
      </c>
      <c r="W991" s="85" t="str">
        <f>IF(AND('341-CT'!$H$9=H991,OR(LEFT(N991,3)=$W$7,LEFT(O991,3)=$W$7)),"x","")</f>
        <v/>
      </c>
      <c r="X991" s="85" t="str">
        <f>IF(OR(TH!N991=TH!$X$7,O991=TH!$X$7),"x","")</f>
        <v/>
      </c>
      <c r="Y991" s="85" t="str">
        <f>IF(AND(OR(N991="131",O991="131"),H991='131-CT'!$H$9),"x","")</f>
        <v/>
      </c>
      <c r="Z991" s="85"/>
      <c r="AA991" s="85" t="str">
        <f>IF(AND(MONTH(E991)='IN-NX'!$J$5,'IN-NX'!$D$7=D991),"x","")</f>
        <v/>
      </c>
      <c r="AB991" s="85" t="str">
        <f>IF(AND(OR(LEFT(TH!N991,2)="15",LEFT(TH!O991,2)="15"),'152-CT'!$J$8=TH!F991),"x","")</f>
        <v/>
      </c>
      <c r="AC991" s="85" t="str">
        <f>IF(AND(OR(LEFT(TH!N991,2)="15",LEFT(TH!O991,2)="15"),TK!$E$7=TH!F991),"x","")</f>
        <v/>
      </c>
      <c r="AD991" s="85" t="str">
        <f>IF(AND(N991="1521",MONTH(C991)='BK-NL'!$M$11),"x","")</f>
        <v/>
      </c>
    </row>
    <row r="992" spans="1:30" ht="15.75" customHeight="1">
      <c r="A992" s="342" t="str">
        <f>IF(B992&lt;&gt;"",IF(AND(B992='IN-TC'!$S$4,OR(TH!N992="1111",TH!O992="1111")),TH!D992,""),"")</f>
        <v/>
      </c>
      <c r="B992" s="63">
        <f t="shared" si="78"/>
        <v>5</v>
      </c>
      <c r="C992" s="64">
        <f>E992</f>
        <v>42502</v>
      </c>
      <c r="D992" s="320" t="s">
        <v>681</v>
      </c>
      <c r="E992" s="64">
        <v>42502</v>
      </c>
      <c r="F992" s="67" t="s">
        <v>225</v>
      </c>
      <c r="G992" s="995" t="s">
        <v>1505</v>
      </c>
      <c r="H992" s="350" t="s">
        <v>624</v>
      </c>
      <c r="I992" s="448">
        <v>450</v>
      </c>
      <c r="J992" s="448">
        <v>19565.650000000001</v>
      </c>
      <c r="K992" s="439"/>
      <c r="L992" s="448"/>
      <c r="M992" s="65">
        <f t="shared" si="110"/>
        <v>8804543</v>
      </c>
      <c r="N992" s="323" t="s">
        <v>277</v>
      </c>
      <c r="O992" s="323" t="s">
        <v>8</v>
      </c>
      <c r="P992" s="85" t="str">
        <f>IF(AND('331-CT'!$E$7=TH!H992,OR(N992="331",O992="331")),"x","")</f>
        <v/>
      </c>
      <c r="Q992" s="85" t="str">
        <f>IF(AND(B992='111'!$L$11,OR($N992=$Q$7,$O992=$Q$7)),"x","")</f>
        <v/>
      </c>
      <c r="R992" s="85" t="str">
        <f>IF(AND($N992=$Q$7,$B992&lt;'111'!$L$11),"x","")</f>
        <v/>
      </c>
      <c r="S992" s="85" t="str">
        <f>IF(AND($O992=$Q$7,$B992&lt;'111'!$L$11),"x","")</f>
        <v/>
      </c>
      <c r="T992" s="85" t="str">
        <f>IF(ISERROR(FIND('112'!$M$9,G992,1)),"",IF((AND(FIND('112'!$M$9,G992,1)&gt;=1,B992='112'!$K$9,OR($N992='112'!$I$6,$O992='112'!$I$6))),"x",""))</f>
        <v/>
      </c>
      <c r="U992" s="85" t="str">
        <f>IF(ISERROR(FIND('112'!$M$9,G992,1)),"",IF((AND(LEFT(G992,2)=LEFT('112'!$M$9,2),B992&lt;'112'!$K$9,$N992='112'!$I$6)),"x",""))</f>
        <v/>
      </c>
      <c r="V992" s="85" t="str">
        <f>IF(ISERROR(FIND('112'!$M$9,G992,1)),"",IF((AND(RIGHT(G992,2)=RIGHT('112'!$M$9,2),B992&lt;'112'!$K$9,$O992='112'!$I$6)),"x",""))</f>
        <v/>
      </c>
      <c r="W992" s="85" t="str">
        <f>IF(AND('341-CT'!$H$9=H992,OR(LEFT(N992,3)=$W$7,LEFT(O992,3)=$W$7)),"x","")</f>
        <v/>
      </c>
      <c r="X992" s="85" t="str">
        <f>IF(OR(TH!N992=TH!$X$7,O992=TH!$X$7),"x","")</f>
        <v/>
      </c>
      <c r="Y992" s="85" t="str">
        <f>IF(AND(OR(N992="131",O992="131"),H992='131-CT'!$H$9),"x","")</f>
        <v/>
      </c>
      <c r="Z992" s="85"/>
      <c r="AA992" s="85" t="str">
        <f>IF(AND(MONTH(E992)='IN-NX'!$J$5,'IN-NX'!$D$7=D992),"x","")</f>
        <v/>
      </c>
      <c r="AB992" s="85" t="str">
        <f>IF(AND(OR(LEFT(TH!N992,2)="15",LEFT(TH!O992,2)="15"),'152-CT'!$J$8=TH!F992),"x","")</f>
        <v/>
      </c>
      <c r="AC992" s="85" t="str">
        <f>IF(AND(OR(LEFT(TH!N992,2)="15",LEFT(TH!O992,2)="15"),TK!$E$7=TH!F992),"x","")</f>
        <v/>
      </c>
      <c r="AD992" s="85" t="str">
        <f>IF(AND(N992="1521",MONTH(C992)='BK-NL'!$M$11),"x","")</f>
        <v/>
      </c>
    </row>
    <row r="993" spans="1:30" ht="15.75" customHeight="1">
      <c r="A993" s="342" t="str">
        <f>IF(B993&lt;&gt;"",IF(AND(B993='IN-TC'!$S$4,OR(TH!N993="1111",TH!O993="1111")),TH!D993,""),"")</f>
        <v/>
      </c>
      <c r="B993" s="63">
        <f t="shared" si="78"/>
        <v>5</v>
      </c>
      <c r="C993" s="64">
        <f t="shared" ref="C993:C995" si="111">E993</f>
        <v>42502</v>
      </c>
      <c r="D993" s="320" t="s">
        <v>681</v>
      </c>
      <c r="E993" s="64">
        <v>42502</v>
      </c>
      <c r="F993" s="67" t="s">
        <v>1370</v>
      </c>
      <c r="G993" s="995" t="s">
        <v>1505</v>
      </c>
      <c r="H993" s="350" t="s">
        <v>624</v>
      </c>
      <c r="I993" s="448"/>
      <c r="J993" s="448"/>
      <c r="K993" s="439"/>
      <c r="L993" s="448"/>
      <c r="M993" s="65">
        <v>880454</v>
      </c>
      <c r="N993" s="323" t="s">
        <v>9</v>
      </c>
      <c r="O993" s="323" t="s">
        <v>8</v>
      </c>
      <c r="P993" s="85" t="str">
        <f>IF(AND('331-CT'!$E$7=TH!H993,OR(N993="331",O993="331")),"x","")</f>
        <v/>
      </c>
      <c r="Q993" s="85" t="str">
        <f>IF(AND(B993='111'!$L$11,OR($N993=$Q$7,$O993=$Q$7)),"x","")</f>
        <v/>
      </c>
      <c r="R993" s="85" t="str">
        <f>IF(AND($N993=$Q$7,$B993&lt;'111'!$L$11),"x","")</f>
        <v/>
      </c>
      <c r="S993" s="85" t="str">
        <f>IF(AND($O993=$Q$7,$B993&lt;'111'!$L$11),"x","")</f>
        <v/>
      </c>
      <c r="T993" s="85" t="str">
        <f>IF(ISERROR(FIND('112'!$M$9,G993,1)),"",IF((AND(FIND('112'!$M$9,G993,1)&gt;=1,B993='112'!$K$9,OR($N993='112'!$I$6,$O993='112'!$I$6))),"x",""))</f>
        <v/>
      </c>
      <c r="U993" s="85" t="str">
        <f>IF(ISERROR(FIND('112'!$M$9,G993,1)),"",IF((AND(LEFT(G993,2)=LEFT('112'!$M$9,2),B993&lt;'112'!$K$9,$N993='112'!$I$6)),"x",""))</f>
        <v/>
      </c>
      <c r="V993" s="85" t="str">
        <f>IF(ISERROR(FIND('112'!$M$9,G993,1)),"",IF((AND(RIGHT(G993,2)=RIGHT('112'!$M$9,2),B993&lt;'112'!$K$9,$O993='112'!$I$6)),"x",""))</f>
        <v/>
      </c>
      <c r="W993" s="85" t="str">
        <f>IF(AND('341-CT'!$H$9=H993,OR(LEFT(N993,3)=$W$7,LEFT(O993,3)=$W$7)),"x","")</f>
        <v/>
      </c>
      <c r="X993" s="85" t="str">
        <f>IF(OR(TH!N993=TH!$X$7,O993=TH!$X$7),"x","")</f>
        <v/>
      </c>
      <c r="Y993" s="85" t="str">
        <f>IF(AND(OR(N993="131",O993="131"),H993='131-CT'!$H$9),"x","")</f>
        <v/>
      </c>
      <c r="Z993" s="85"/>
      <c r="AA993" s="85" t="str">
        <f>IF(AND(MONTH(E993)='IN-NX'!$J$5,'IN-NX'!$D$7=D993),"x","")</f>
        <v/>
      </c>
      <c r="AB993" s="85" t="str">
        <f>IF(AND(OR(LEFT(TH!N993,2)="15",LEFT(TH!O993,2)="15"),'152-CT'!$J$8=TH!F993),"x","")</f>
        <v/>
      </c>
      <c r="AC993" s="85" t="str">
        <f>IF(AND(OR(LEFT(TH!N993,2)="15",LEFT(TH!O993,2)="15"),TK!$E$7=TH!F993),"x","")</f>
        <v/>
      </c>
      <c r="AD993" s="85" t="str">
        <f>IF(AND(N993="1521",MONTH(C993)='BK-NL'!$M$11),"x","")</f>
        <v/>
      </c>
    </row>
    <row r="994" spans="1:30" ht="15.75" customHeight="1">
      <c r="A994" s="342" t="str">
        <f>IF(B994&lt;&gt;"",IF(AND(B994='IN-TC'!$S$4,OR(TH!N994="1111",TH!O994="1111")),TH!D994,""),"")</f>
        <v/>
      </c>
      <c r="B994" s="63">
        <f t="shared" ref="B994:B995" si="112">IF(C994&lt;&gt;"",MONTH(C994),"")</f>
        <v>5</v>
      </c>
      <c r="C994" s="64">
        <f t="shared" si="111"/>
        <v>42520</v>
      </c>
      <c r="D994" s="320" t="s">
        <v>682</v>
      </c>
      <c r="E994" s="64">
        <v>42520</v>
      </c>
      <c r="F994" s="67" t="s">
        <v>225</v>
      </c>
      <c r="G994" s="995" t="s">
        <v>1545</v>
      </c>
      <c r="H994" s="350" t="s">
        <v>624</v>
      </c>
      <c r="I994" s="448">
        <v>450</v>
      </c>
      <c r="J994" s="448">
        <v>19565.57</v>
      </c>
      <c r="K994" s="439"/>
      <c r="L994" s="448"/>
      <c r="M994" s="65">
        <f t="shared" si="110"/>
        <v>8804507</v>
      </c>
      <c r="N994" s="323" t="s">
        <v>277</v>
      </c>
      <c r="O994" s="323" t="s">
        <v>8</v>
      </c>
      <c r="P994" s="85" t="str">
        <f>IF(AND('331-CT'!$E$7=TH!H994,OR(N994="331",O994="331")),"x","")</f>
        <v/>
      </c>
      <c r="Q994" s="85" t="str">
        <f>IF(AND(B994='111'!$L$11,OR($N994=$Q$7,$O994=$Q$7)),"x","")</f>
        <v/>
      </c>
      <c r="R994" s="85" t="str">
        <f>IF(AND($N994=$Q$7,$B994&lt;'111'!$L$11),"x","")</f>
        <v/>
      </c>
      <c r="S994" s="85" t="str">
        <f>IF(AND($O994=$Q$7,$B994&lt;'111'!$L$11),"x","")</f>
        <v/>
      </c>
      <c r="T994" s="85" t="str">
        <f>IF(ISERROR(FIND('112'!$M$9,G994,1)),"",IF((AND(FIND('112'!$M$9,G994,1)&gt;=1,B994='112'!$K$9,OR($N994='112'!$I$6,$O994='112'!$I$6))),"x",""))</f>
        <v/>
      </c>
      <c r="U994" s="85" t="str">
        <f>IF(ISERROR(FIND('112'!$M$9,G994,1)),"",IF((AND(LEFT(G994,2)=LEFT('112'!$M$9,2),B994&lt;'112'!$K$9,$N994='112'!$I$6)),"x",""))</f>
        <v/>
      </c>
      <c r="V994" s="85" t="str">
        <f>IF(ISERROR(FIND('112'!$M$9,G994,1)),"",IF((AND(RIGHT(G994,2)=RIGHT('112'!$M$9,2),B994&lt;'112'!$K$9,$O994='112'!$I$6)),"x",""))</f>
        <v/>
      </c>
      <c r="W994" s="85" t="str">
        <f>IF(AND('341-CT'!$H$9=H994,OR(LEFT(N994,3)=$W$7,LEFT(O994,3)=$W$7)),"x","")</f>
        <v/>
      </c>
      <c r="X994" s="85" t="str">
        <f>IF(OR(TH!N994=TH!$X$7,O994=TH!$X$7),"x","")</f>
        <v/>
      </c>
      <c r="Y994" s="85" t="str">
        <f>IF(AND(OR(N994="131",O994="131"),H994='131-CT'!$H$9),"x","")</f>
        <v/>
      </c>
      <c r="Z994" s="85"/>
      <c r="AA994" s="85" t="str">
        <f>IF(AND(MONTH(E994)='IN-NX'!$J$5,'IN-NX'!$D$7=D994),"x","")</f>
        <v/>
      </c>
      <c r="AB994" s="85" t="str">
        <f>IF(AND(OR(LEFT(TH!N994,2)="15",LEFT(TH!O994,2)="15"),'152-CT'!$J$8=TH!F994),"x","")</f>
        <v/>
      </c>
      <c r="AC994" s="85" t="str">
        <f>IF(AND(OR(LEFT(TH!N994,2)="15",LEFT(TH!O994,2)="15"),TK!$E$7=TH!F994),"x","")</f>
        <v/>
      </c>
      <c r="AD994" s="85" t="str">
        <f>IF(AND(N994="1521",MONTH(C994)='BK-NL'!$M$11),"x","")</f>
        <v/>
      </c>
    </row>
    <row r="995" spans="1:30" ht="15.75" customHeight="1">
      <c r="A995" s="342" t="str">
        <f>IF(B995&lt;&gt;"",IF(AND(B995='IN-TC'!$S$4,OR(TH!N995="1111",TH!O995="1111")),TH!D995,""),"")</f>
        <v/>
      </c>
      <c r="B995" s="63">
        <f t="shared" si="112"/>
        <v>5</v>
      </c>
      <c r="C995" s="64">
        <f t="shared" si="111"/>
        <v>42520</v>
      </c>
      <c r="D995" s="320" t="s">
        <v>682</v>
      </c>
      <c r="E995" s="64">
        <v>42520</v>
      </c>
      <c r="F995" s="67" t="s">
        <v>1370</v>
      </c>
      <c r="G995" s="995" t="s">
        <v>1545</v>
      </c>
      <c r="H995" s="350" t="s">
        <v>624</v>
      </c>
      <c r="I995" s="448"/>
      <c r="J995" s="448"/>
      <c r="K995" s="439"/>
      <c r="L995" s="448"/>
      <c r="M995" s="65">
        <v>880451</v>
      </c>
      <c r="N995" s="323" t="s">
        <v>9</v>
      </c>
      <c r="O995" s="323" t="s">
        <v>8</v>
      </c>
      <c r="P995" s="85" t="str">
        <f>IF(AND('331-CT'!$E$7=TH!H995,OR(N995="331",O995="331")),"x","")</f>
        <v/>
      </c>
      <c r="Q995" s="85" t="str">
        <f>IF(AND(B995='111'!$L$11,OR($N995=$Q$7,$O995=$Q$7)),"x","")</f>
        <v/>
      </c>
      <c r="R995" s="85" t="str">
        <f>IF(AND($N995=$Q$7,$B995&lt;'111'!$L$11),"x","")</f>
        <v/>
      </c>
      <c r="S995" s="85" t="str">
        <f>IF(AND($O995=$Q$7,$B995&lt;'111'!$L$11),"x","")</f>
        <v/>
      </c>
      <c r="T995" s="85" t="str">
        <f>IF(ISERROR(FIND('112'!$M$9,G995,1)),"",IF((AND(FIND('112'!$M$9,G995,1)&gt;=1,B995='112'!$K$9,OR($N995='112'!$I$6,$O995='112'!$I$6))),"x",""))</f>
        <v/>
      </c>
      <c r="U995" s="85" t="str">
        <f>IF(ISERROR(FIND('112'!$M$9,G995,1)),"",IF((AND(LEFT(G995,2)=LEFT('112'!$M$9,2),B995&lt;'112'!$K$9,$N995='112'!$I$6)),"x",""))</f>
        <v/>
      </c>
      <c r="V995" s="85" t="str">
        <f>IF(ISERROR(FIND('112'!$M$9,G995,1)),"",IF((AND(RIGHT(G995,2)=RIGHT('112'!$M$9,2),B995&lt;'112'!$K$9,$O995='112'!$I$6)),"x",""))</f>
        <v/>
      </c>
      <c r="W995" s="85" t="str">
        <f>IF(AND('341-CT'!$H$9=H995,OR(LEFT(N995,3)=$W$7,LEFT(O995,3)=$W$7)),"x","")</f>
        <v/>
      </c>
      <c r="X995" s="85" t="str">
        <f>IF(OR(TH!N995=TH!$X$7,O995=TH!$X$7),"x","")</f>
        <v/>
      </c>
      <c r="Y995" s="85" t="str">
        <f>IF(AND(OR(N995="131",O995="131"),H995='131-CT'!$H$9),"x","")</f>
        <v/>
      </c>
      <c r="Z995" s="85"/>
      <c r="AA995" s="85" t="str">
        <f>IF(AND(MONTH(E995)='IN-NX'!$J$5,'IN-NX'!$D$7=D995),"x","")</f>
        <v/>
      </c>
      <c r="AB995" s="85" t="str">
        <f>IF(AND(OR(LEFT(TH!N995,2)="15",LEFT(TH!O995,2)="15"),'152-CT'!$J$8=TH!F995),"x","")</f>
        <v/>
      </c>
      <c r="AC995" s="85" t="str">
        <f>IF(AND(OR(LEFT(TH!N995,2)="15",LEFT(TH!O995,2)="15"),TK!$E$7=TH!F995),"x","")</f>
        <v/>
      </c>
      <c r="AD995" s="85" t="str">
        <f>IF(AND(N995="1521",MONTH(C995)='BK-NL'!$M$11),"x","")</f>
        <v/>
      </c>
    </row>
    <row r="996" spans="1:30" ht="15.75" customHeight="1">
      <c r="A996" s="342" t="str">
        <f>IF(B996&lt;&gt;"",IF(AND(B996='IN-TC'!$S$4,OR(TH!N996="1111",TH!O996="1111")),TH!D996,""),"")</f>
        <v/>
      </c>
      <c r="B996" s="63">
        <f t="shared" si="78"/>
        <v>5</v>
      </c>
      <c r="C996" s="64">
        <f>E996</f>
        <v>42508</v>
      </c>
      <c r="D996" s="64" t="s">
        <v>705</v>
      </c>
      <c r="E996" s="64">
        <v>42508</v>
      </c>
      <c r="F996" s="67" t="s">
        <v>1475</v>
      </c>
      <c r="G996" s="995" t="s">
        <v>929</v>
      </c>
      <c r="H996" s="7" t="s">
        <v>604</v>
      </c>
      <c r="I996" s="446"/>
      <c r="J996" s="446"/>
      <c r="K996" s="437">
        <v>70606.179999999993</v>
      </c>
      <c r="L996" s="446">
        <v>22270</v>
      </c>
      <c r="M996" s="65">
        <f t="shared" ref="M996:M1009" si="113">ROUND(K996*L996,0)</f>
        <v>1572399629</v>
      </c>
      <c r="N996" s="66" t="s">
        <v>267</v>
      </c>
      <c r="O996" s="66" t="s">
        <v>591</v>
      </c>
      <c r="P996" s="85" t="str">
        <f>IF(AND('331-CT'!$E$7=TH!H996,OR(N996="331",O996="331")),"x","")</f>
        <v/>
      </c>
      <c r="Q996" s="85" t="str">
        <f>IF(AND(B996='111'!$L$11,OR($N996=$Q$7,$O996=$Q$7)),"x","")</f>
        <v/>
      </c>
      <c r="R996" s="85" t="str">
        <f>IF(AND($N996=$Q$7,$B996&lt;'111'!$L$11),"x","")</f>
        <v/>
      </c>
      <c r="S996" s="85" t="str">
        <f>IF(AND($O996=$Q$7,$B996&lt;'111'!$L$11),"x","")</f>
        <v/>
      </c>
      <c r="T996" s="85" t="str">
        <f>IF(ISERROR(FIND('112'!$M$9,G996,1)),"",IF((AND(FIND('112'!$M$9,G996,1)&gt;=1,B996='112'!$K$9,OR($N996='112'!$I$6,$O996='112'!$I$6))),"x",""))</f>
        <v/>
      </c>
      <c r="U996" s="85" t="str">
        <f>IF(ISERROR(FIND('112'!$M$9,G996,1)),"",IF((AND(LEFT(G996,2)=LEFT('112'!$M$9,2),B996&lt;'112'!$K$9,$N996='112'!$I$6)),"x",""))</f>
        <v/>
      </c>
      <c r="V996" s="85" t="str">
        <f>IF(ISERROR(FIND('112'!$M$9,G996,1)),"",IF((AND(RIGHT(G996,2)=RIGHT('112'!$M$9,2),B996&lt;'112'!$K$9,$O996='112'!$I$6)),"x",""))</f>
        <v/>
      </c>
      <c r="W996" s="85" t="str">
        <f>IF(AND('341-CT'!$H$9=H996,OR(LEFT(N996,3)=$W$7,LEFT(O996,3)=$W$7)),"x","")</f>
        <v/>
      </c>
      <c r="X996" s="85" t="str">
        <f>IF(OR(TH!N996=TH!$X$7,O996=TH!$X$7),"x","")</f>
        <v/>
      </c>
      <c r="Y996" s="85" t="str">
        <f>IF(AND(OR(N996="131",O996="131"),H996='131-CT'!$H$9),"x","")</f>
        <v/>
      </c>
      <c r="Z996" s="85"/>
      <c r="AA996" s="85" t="str">
        <f>IF(AND(MONTH(E996)='IN-NX'!$J$5,'IN-NX'!$D$7=D996),"x","")</f>
        <v/>
      </c>
      <c r="AB996" s="85" t="str">
        <f>IF(AND(OR(LEFT(TH!N996,2)="15",LEFT(TH!O996,2)="15"),'152-CT'!$J$8=TH!F996),"x","")</f>
        <v/>
      </c>
      <c r="AC996" s="85" t="str">
        <f>IF(AND(OR(LEFT(TH!N996,2)="15",LEFT(TH!O996,2)="15"),TK!$E$7=TH!F996),"x","")</f>
        <v/>
      </c>
      <c r="AD996" s="85" t="str">
        <f>IF(AND(N996="1521",MONTH(C996)='BK-NL'!$M$11),"x","")</f>
        <v/>
      </c>
    </row>
    <row r="997" spans="1:30" ht="15.75" customHeight="1">
      <c r="A997" s="342" t="str">
        <f>IF(B997&lt;&gt;"",IF(AND(B997='IN-TC'!$S$4,OR(TH!N997="1111",TH!O997="1111")),TH!D997,""),"")</f>
        <v/>
      </c>
      <c r="B997" s="63">
        <f t="shared" ref="B997" si="114">IF(C997&lt;&gt;"",MONTH(C997),"")</f>
        <v>5</v>
      </c>
      <c r="C997" s="64">
        <f t="shared" ref="C997" si="115">E997</f>
        <v>42508</v>
      </c>
      <c r="D997" s="64" t="s">
        <v>585</v>
      </c>
      <c r="E997" s="64">
        <v>42508</v>
      </c>
      <c r="F997" s="67" t="s">
        <v>1537</v>
      </c>
      <c r="G997" s="995" t="s">
        <v>929</v>
      </c>
      <c r="H997" s="7" t="s">
        <v>604</v>
      </c>
      <c r="I997" s="446"/>
      <c r="J997" s="446"/>
      <c r="K997" s="437">
        <v>106.2</v>
      </c>
      <c r="L997" s="446">
        <v>22270</v>
      </c>
      <c r="M997" s="65">
        <f t="shared" ref="M997" si="116">ROUND(K997*L997,0)</f>
        <v>2365074</v>
      </c>
      <c r="N997" s="66" t="s">
        <v>101</v>
      </c>
      <c r="O997" s="66" t="s">
        <v>591</v>
      </c>
      <c r="P997" s="85" t="str">
        <f>IF(AND('331-CT'!$E$7=TH!H997,OR(N997="331",O997="331")),"x","")</f>
        <v/>
      </c>
      <c r="Q997" s="85" t="str">
        <f>IF(AND(B997='111'!$L$11,OR($N997=$Q$7,$O997=$Q$7)),"x","")</f>
        <v/>
      </c>
      <c r="R997" s="85" t="str">
        <f>IF(AND($N997=$Q$7,$B997&lt;'111'!$L$11),"x","")</f>
        <v/>
      </c>
      <c r="S997" s="85" t="str">
        <f>IF(AND($O997=$Q$7,$B997&lt;'111'!$L$11),"x","")</f>
        <v/>
      </c>
      <c r="T997" s="85" t="str">
        <f>IF(ISERROR(FIND('112'!$M$9,G997,1)),"",IF((AND(FIND('112'!$M$9,G997,1)&gt;=1,B997='112'!$K$9,OR($N997='112'!$I$6,$O997='112'!$I$6))),"x",""))</f>
        <v/>
      </c>
      <c r="U997" s="85" t="str">
        <f>IF(ISERROR(FIND('112'!$M$9,G997,1)),"",IF((AND(LEFT(G997,2)=LEFT('112'!$M$9,2),B997&lt;'112'!$K$9,$N997='112'!$I$6)),"x",""))</f>
        <v/>
      </c>
      <c r="V997" s="85" t="str">
        <f>IF(ISERROR(FIND('112'!$M$9,G997,1)),"",IF((AND(RIGHT(G997,2)=RIGHT('112'!$M$9,2),B997&lt;'112'!$K$9,$O997='112'!$I$6)),"x",""))</f>
        <v/>
      </c>
      <c r="W997" s="85" t="str">
        <f>IF(AND('341-CT'!$H$9=H997,OR(LEFT(N997,3)=$W$7,LEFT(O997,3)=$W$7)),"x","")</f>
        <v/>
      </c>
      <c r="X997" s="85" t="str">
        <f>IF(OR(TH!N997=TH!$X$7,O997=TH!$X$7),"x","")</f>
        <v/>
      </c>
      <c r="Y997" s="85" t="str">
        <f>IF(AND(OR(N997="131",O997="131"),H997='131-CT'!$H$9),"x","")</f>
        <v/>
      </c>
      <c r="Z997" s="85"/>
      <c r="AA997" s="85" t="str">
        <f>IF(AND(MONTH(E997)='IN-NX'!$J$5,'IN-NX'!$D$7=D997),"x","")</f>
        <v/>
      </c>
      <c r="AB997" s="85" t="str">
        <f>IF(AND(OR(LEFT(TH!N997,2)="15",LEFT(TH!O997,2)="15"),'152-CT'!$J$8=TH!F997),"x","")</f>
        <v/>
      </c>
      <c r="AC997" s="85" t="str">
        <f>IF(AND(OR(LEFT(TH!N997,2)="15",LEFT(TH!O997,2)="15"),TK!$E$7=TH!F997),"x","")</f>
        <v/>
      </c>
      <c r="AD997" s="85" t="str">
        <f>IF(AND(N997="1521",MONTH(C997)='BK-NL'!$M$11),"x","")</f>
        <v/>
      </c>
    </row>
    <row r="998" spans="1:30" ht="15.75" customHeight="1">
      <c r="A998" s="342" t="str">
        <f>IF(B998&lt;&gt;"",IF(AND(B998='IN-TC'!$S$4,OR(TH!N998="1111",TH!O998="1111")),TH!D998,""),"")</f>
        <v/>
      </c>
      <c r="B998" s="63">
        <f t="shared" ref="B998:B1001" si="117">IF(C998&lt;&gt;"",MONTH(C998),"")</f>
        <v>5</v>
      </c>
      <c r="C998" s="64">
        <f t="shared" ref="C998" si="118">E998</f>
        <v>42508</v>
      </c>
      <c r="D998" s="64" t="s">
        <v>585</v>
      </c>
      <c r="E998" s="64">
        <v>42508</v>
      </c>
      <c r="F998" s="67" t="s">
        <v>1538</v>
      </c>
      <c r="G998" s="995" t="s">
        <v>929</v>
      </c>
      <c r="H998" s="7" t="s">
        <v>604</v>
      </c>
      <c r="I998" s="446"/>
      <c r="J998" s="446"/>
      <c r="K998" s="437">
        <v>10.62</v>
      </c>
      <c r="L998" s="446">
        <v>22270</v>
      </c>
      <c r="M998" s="65">
        <f t="shared" ref="M998:M1001" si="119">ROUND(K998*L998,0)</f>
        <v>236507</v>
      </c>
      <c r="N998" s="66" t="s">
        <v>101</v>
      </c>
      <c r="O998" s="66" t="s">
        <v>591</v>
      </c>
      <c r="P998" s="85" t="str">
        <f>IF(AND('331-CT'!$E$7=TH!H998,OR(N998="331",O998="331")),"x","")</f>
        <v/>
      </c>
      <c r="Q998" s="85" t="str">
        <f>IF(AND(B998='111'!$L$11,OR($N998=$Q$7,$O998=$Q$7)),"x","")</f>
        <v/>
      </c>
      <c r="R998" s="85" t="str">
        <f>IF(AND($N998=$Q$7,$B998&lt;'111'!$L$11),"x","")</f>
        <v/>
      </c>
      <c r="S998" s="85" t="str">
        <f>IF(AND($O998=$Q$7,$B998&lt;'111'!$L$11),"x","")</f>
        <v/>
      </c>
      <c r="T998" s="85" t="str">
        <f>IF(ISERROR(FIND('112'!$M$9,G998,1)),"",IF((AND(FIND('112'!$M$9,G998,1)&gt;=1,B998='112'!$K$9,OR($N998='112'!$I$6,$O998='112'!$I$6))),"x",""))</f>
        <v/>
      </c>
      <c r="U998" s="85" t="str">
        <f>IF(ISERROR(FIND('112'!$M$9,G998,1)),"",IF((AND(LEFT(G998,2)=LEFT('112'!$M$9,2),B998&lt;'112'!$K$9,$N998='112'!$I$6)),"x",""))</f>
        <v/>
      </c>
      <c r="V998" s="85" t="str">
        <f>IF(ISERROR(FIND('112'!$M$9,G998,1)),"",IF((AND(RIGHT(G998,2)=RIGHT('112'!$M$9,2),B998&lt;'112'!$K$9,$O998='112'!$I$6)),"x",""))</f>
        <v/>
      </c>
      <c r="W998" s="85" t="str">
        <f>IF(AND('341-CT'!$H$9=H998,OR(LEFT(N998,3)=$W$7,LEFT(O998,3)=$W$7)),"x","")</f>
        <v/>
      </c>
      <c r="X998" s="85" t="str">
        <f>IF(OR(TH!N998=TH!$X$7,O998=TH!$X$7),"x","")</f>
        <v/>
      </c>
      <c r="Y998" s="85" t="str">
        <f>IF(AND(OR(N998="131",O998="131"),H998='131-CT'!$H$9),"x","")</f>
        <v/>
      </c>
      <c r="Z998" s="85"/>
      <c r="AA998" s="85" t="str">
        <f>IF(AND(MONTH(E998)='IN-NX'!$J$5,'IN-NX'!$D$7=D998),"x","")</f>
        <v/>
      </c>
      <c r="AB998" s="85" t="str">
        <f>IF(AND(OR(LEFT(TH!N998,2)="15",LEFT(TH!O998,2)="15"),'152-CT'!$J$8=TH!F998),"x","")</f>
        <v/>
      </c>
      <c r="AC998" s="85" t="str">
        <f>IF(AND(OR(LEFT(TH!N998,2)="15",LEFT(TH!O998,2)="15"),TK!$E$7=TH!F998),"x","")</f>
        <v/>
      </c>
      <c r="AD998" s="85" t="str">
        <f>IF(AND(N998="1521",MONTH(C998)='BK-NL'!$M$11),"x","")</f>
        <v/>
      </c>
    </row>
    <row r="999" spans="1:30" ht="15.75" customHeight="1">
      <c r="A999" s="342" t="str">
        <f>IF(B999&lt;&gt;"",IF(AND(B999='IN-TC'!$S$4,OR(TH!N999="1111",TH!O999="1111")),TH!D999,""),"")</f>
        <v/>
      </c>
      <c r="B999" s="63">
        <f t="shared" si="117"/>
        <v>5</v>
      </c>
      <c r="C999" s="64">
        <f>E999</f>
        <v>42508</v>
      </c>
      <c r="D999" s="64" t="s">
        <v>585</v>
      </c>
      <c r="E999" s="64">
        <v>42508</v>
      </c>
      <c r="F999" s="321" t="s">
        <v>1539</v>
      </c>
      <c r="G999" s="995" t="s">
        <v>929</v>
      </c>
      <c r="H999" s="7" t="s">
        <v>604</v>
      </c>
      <c r="I999" s="446"/>
      <c r="J999" s="446"/>
      <c r="K999" s="437">
        <v>79</v>
      </c>
      <c r="L999" s="446">
        <v>22270</v>
      </c>
      <c r="M999" s="65">
        <f t="shared" si="119"/>
        <v>1759330</v>
      </c>
      <c r="N999" s="66" t="s">
        <v>9</v>
      </c>
      <c r="O999" s="66" t="s">
        <v>591</v>
      </c>
      <c r="P999" s="85" t="str">
        <f>IF(AND('331-CT'!$E$7=TH!H999,OR(N999="331",O999="331")),"x","")</f>
        <v/>
      </c>
      <c r="Q999" s="85" t="str">
        <f>IF(AND(B999='111'!$L$11,OR($N999=$Q$7,$O999=$Q$7)),"x","")</f>
        <v/>
      </c>
      <c r="R999" s="85" t="str">
        <f>IF(AND($N999=$Q$7,$B999&lt;'111'!$L$11),"x","")</f>
        <v/>
      </c>
      <c r="S999" s="85" t="str">
        <f>IF(AND($O999=$Q$7,$B999&lt;'111'!$L$11),"x","")</f>
        <v/>
      </c>
      <c r="T999" s="85" t="str">
        <f>IF(ISERROR(FIND('112'!$M$9,G999,1)),"",IF((AND(FIND('112'!$M$9,G999,1)&gt;=1,B999='112'!$K$9,OR($N999='112'!$I$6,$O999='112'!$I$6))),"x",""))</f>
        <v/>
      </c>
      <c r="U999" s="85" t="str">
        <f>IF(ISERROR(FIND('112'!$M$9,G999,1)),"",IF((AND(LEFT(G999,2)=LEFT('112'!$M$9,2),B999&lt;'112'!$K$9,$N999='112'!$I$6)),"x",""))</f>
        <v/>
      </c>
      <c r="V999" s="85" t="str">
        <f>IF(ISERROR(FIND('112'!$M$9,G999,1)),"",IF((AND(RIGHT(G999,2)=RIGHT('112'!$M$9,2),B999&lt;'112'!$K$9,$O999='112'!$I$6)),"x",""))</f>
        <v/>
      </c>
      <c r="W999" s="85" t="str">
        <f>IF(AND('341-CT'!$H$9=H999,OR(LEFT(N999,3)=$W$7,LEFT(O999,3)=$W$7)),"x","")</f>
        <v/>
      </c>
      <c r="X999" s="85" t="str">
        <f>IF(OR(TH!N999=TH!$X$7,O999=TH!$X$7),"x","")</f>
        <v/>
      </c>
      <c r="Y999" s="85" t="str">
        <f>IF(AND(OR(N999="131",O999="131"),H999='131-CT'!$H$9),"x","")</f>
        <v/>
      </c>
      <c r="Z999" s="85"/>
      <c r="AA999" s="85" t="str">
        <f>IF(AND(MONTH(E999)='IN-NX'!$J$5,'IN-NX'!$D$7=D999),"x","")</f>
        <v/>
      </c>
      <c r="AB999" s="85" t="str">
        <f>IF(AND(OR(LEFT(TH!N999,2)="15",LEFT(TH!O999,2)="15"),'152-CT'!$J$8=TH!F999),"x","")</f>
        <v/>
      </c>
      <c r="AC999" s="85" t="str">
        <f>IF(AND(OR(LEFT(TH!N999,2)="15",LEFT(TH!O999,2)="15"),TK!$E$7=TH!F999),"x","")</f>
        <v/>
      </c>
      <c r="AD999" s="85" t="str">
        <f>IF(AND(N999="1521",MONTH(C999)='BK-NL'!$M$11),"x","")</f>
        <v/>
      </c>
    </row>
    <row r="1000" spans="1:30" ht="15.75" customHeight="1">
      <c r="A1000" s="342" t="str">
        <f>IF(B1000&lt;&gt;"",IF(AND(B1000='IN-TC'!$S$4,OR(TH!N1000="1111",TH!O1000="1111")),TH!D1000,""),"")</f>
        <v/>
      </c>
      <c r="B1000" s="63">
        <f t="shared" ref="B1000" si="120">IF(C1000&lt;&gt;"",MONTH(C1000),"")</f>
        <v>5</v>
      </c>
      <c r="C1000" s="64">
        <f>E1000</f>
        <v>42508</v>
      </c>
      <c r="D1000" s="64" t="s">
        <v>585</v>
      </c>
      <c r="E1000" s="64">
        <v>42508</v>
      </c>
      <c r="F1000" s="321" t="s">
        <v>1079</v>
      </c>
      <c r="G1000" s="995"/>
      <c r="H1000" s="7" t="s">
        <v>604</v>
      </c>
      <c r="I1000" s="446"/>
      <c r="J1000" s="446"/>
      <c r="K1000" s="437"/>
      <c r="L1000" s="446"/>
      <c r="M1000" s="65">
        <v>1062030</v>
      </c>
      <c r="N1000" s="66" t="s">
        <v>591</v>
      </c>
      <c r="O1000" s="66" t="s">
        <v>43</v>
      </c>
      <c r="P1000" s="85" t="str">
        <f>IF(AND('331-CT'!$E$7=TH!H1000,OR(N1000="331",O1000="331")),"x","")</f>
        <v/>
      </c>
      <c r="Q1000" s="85" t="str">
        <f>IF(AND(B1000='111'!$L$11,OR($N1000=$Q$7,$O1000=$Q$7)),"x","")</f>
        <v/>
      </c>
      <c r="R1000" s="85" t="str">
        <f>IF(AND($N1000=$Q$7,$B1000&lt;'111'!$L$11),"x","")</f>
        <v/>
      </c>
      <c r="S1000" s="85" t="str">
        <f>IF(AND($O1000=$Q$7,$B1000&lt;'111'!$L$11),"x","")</f>
        <v/>
      </c>
      <c r="T1000" s="85" t="str">
        <f>IF(ISERROR(FIND('112'!$M$9,G1000,1)),"",IF((AND(FIND('112'!$M$9,G1000,1)&gt;=1,B1000='112'!$K$9,OR($N1000='112'!$I$6,$O1000='112'!$I$6))),"x",""))</f>
        <v/>
      </c>
      <c r="U1000" s="85" t="str">
        <f>IF(ISERROR(FIND('112'!$M$9,G1000,1)),"",IF((AND(LEFT(G1000,2)=LEFT('112'!$M$9,2),B1000&lt;'112'!$K$9,$N1000='112'!$I$6)),"x",""))</f>
        <v/>
      </c>
      <c r="V1000" s="85" t="str">
        <f>IF(ISERROR(FIND('112'!$M$9,G1000,1)),"",IF((AND(RIGHT(G1000,2)=RIGHT('112'!$M$9,2),B1000&lt;'112'!$K$9,$O1000='112'!$I$6)),"x",""))</f>
        <v/>
      </c>
      <c r="W1000" s="85" t="str">
        <f>IF(AND('341-CT'!$H$9=H1000,OR(LEFT(N1000,3)=$W$7,LEFT(O1000,3)=$W$7)),"x","")</f>
        <v/>
      </c>
      <c r="X1000" s="85" t="str">
        <f>IF(OR(TH!N1000=TH!$X$7,O1000=TH!$X$7),"x","")</f>
        <v/>
      </c>
      <c r="Y1000" s="85" t="str">
        <f>IF(AND(OR(N1000="131",O1000="131"),H1000='131-CT'!$H$9),"x","")</f>
        <v/>
      </c>
      <c r="Z1000" s="85"/>
      <c r="AA1000" s="85" t="str">
        <f>IF(AND(MONTH(E1000)='IN-NX'!$J$5,'IN-NX'!$D$7=D1000),"x","")</f>
        <v/>
      </c>
      <c r="AB1000" s="85" t="str">
        <f>IF(AND(OR(LEFT(TH!N1000,2)="15",LEFT(TH!O1000,2)="15"),'152-CT'!$J$8=TH!F1000),"x","")</f>
        <v/>
      </c>
      <c r="AC1000" s="85" t="str">
        <f>IF(AND(OR(LEFT(TH!N1000,2)="15",LEFT(TH!O1000,2)="15"),TK!$E$7=TH!F1000),"x","")</f>
        <v/>
      </c>
      <c r="AD1000" s="85" t="str">
        <f>IF(AND(N1000="1521",MONTH(C1000)='BK-NL'!$M$11),"x","")</f>
        <v/>
      </c>
    </row>
    <row r="1001" spans="1:30" ht="15.75" customHeight="1">
      <c r="A1001" s="342" t="str">
        <f>IF(B1001&lt;&gt;"",IF(AND(B1001='IN-TC'!$S$4,OR(TH!N1001="1111",TH!O1001="1111")),TH!D1001,""),"")</f>
        <v/>
      </c>
      <c r="B1001" s="63">
        <f t="shared" si="117"/>
        <v>5</v>
      </c>
      <c r="C1001" s="64">
        <f>E1001</f>
        <v>42508</v>
      </c>
      <c r="D1001" s="64" t="s">
        <v>708</v>
      </c>
      <c r="E1001" s="64">
        <v>42508</v>
      </c>
      <c r="F1001" s="67" t="s">
        <v>1463</v>
      </c>
      <c r="G1001" s="995" t="s">
        <v>929</v>
      </c>
      <c r="H1001" s="7" t="s">
        <v>1566</v>
      </c>
      <c r="I1001" s="446"/>
      <c r="J1001" s="446"/>
      <c r="K1001" s="437">
        <v>63720</v>
      </c>
      <c r="L1001" s="446">
        <v>22260</v>
      </c>
      <c r="M1001" s="65">
        <f t="shared" si="119"/>
        <v>1418407200</v>
      </c>
      <c r="N1001" s="66" t="s">
        <v>26</v>
      </c>
      <c r="O1001" s="66" t="s">
        <v>267</v>
      </c>
      <c r="P1001" s="85" t="str">
        <f>IF(AND('331-CT'!$E$7=TH!H1001,OR(N1001="331",O1001="331")),"x","")</f>
        <v/>
      </c>
      <c r="Q1001" s="85" t="str">
        <f>IF(AND(B1001='111'!$L$11,OR($N1001=$Q$7,$O1001=$Q$7)),"x","")</f>
        <v/>
      </c>
      <c r="R1001" s="85" t="str">
        <f>IF(AND($N1001=$Q$7,$B1001&lt;'111'!$L$11),"x","")</f>
        <v/>
      </c>
      <c r="S1001" s="85" t="str">
        <f>IF(AND($O1001=$Q$7,$B1001&lt;'111'!$L$11),"x","")</f>
        <v/>
      </c>
      <c r="T1001" s="85" t="str">
        <f>IF(ISERROR(FIND('112'!$M$9,G1001,1)),"",IF((AND(FIND('112'!$M$9,G1001,1)&gt;=1,B1001='112'!$K$9,OR($N1001='112'!$I$6,$O1001='112'!$I$6))),"x",""))</f>
        <v/>
      </c>
      <c r="U1001" s="85" t="str">
        <f>IF(ISERROR(FIND('112'!$M$9,G1001,1)),"",IF((AND(LEFT(G1001,2)=LEFT('112'!$M$9,2),B1001&lt;'112'!$K$9,$N1001='112'!$I$6)),"x",""))</f>
        <v/>
      </c>
      <c r="V1001" s="85" t="str">
        <f>IF(ISERROR(FIND('112'!$M$9,G1001,1)),"",IF((AND(RIGHT(G1001,2)=RIGHT('112'!$M$9,2),B1001&lt;'112'!$K$9,$O1001='112'!$I$6)),"x",""))</f>
        <v/>
      </c>
      <c r="W1001" s="85" t="str">
        <f>IF(AND('341-CT'!$H$9=H1001,OR(LEFT(N1001,3)=$W$7,LEFT(O1001,3)=$W$7)),"x","")</f>
        <v/>
      </c>
      <c r="X1001" s="85" t="str">
        <f>IF(OR(TH!N1001=TH!$X$7,O1001=TH!$X$7),"x","")</f>
        <v/>
      </c>
      <c r="Y1001" s="85" t="str">
        <f>IF(AND(OR(N1001="131",O1001="131"),H1001='131-CT'!$H$9),"x","")</f>
        <v/>
      </c>
      <c r="Z1001" s="85"/>
      <c r="AA1001" s="85" t="str">
        <f>IF(AND(MONTH(E1001)='IN-NX'!$J$5,'IN-NX'!$D$7=D1001),"x","")</f>
        <v/>
      </c>
      <c r="AB1001" s="85" t="str">
        <f>IF(AND(OR(LEFT(TH!N1001,2)="15",LEFT(TH!O1001,2)="15"),'152-CT'!$J$8=TH!F1001),"x","")</f>
        <v/>
      </c>
      <c r="AC1001" s="85" t="str">
        <f>IF(AND(OR(LEFT(TH!N1001,2)="15",LEFT(TH!O1001,2)="15"),TK!$E$7=TH!F1001),"x","")</f>
        <v/>
      </c>
      <c r="AD1001" s="85" t="str">
        <f>IF(AND(N1001="1521",MONTH(C1001)='BK-NL'!$M$11),"x","")</f>
        <v/>
      </c>
    </row>
    <row r="1002" spans="1:30" ht="15.75" customHeight="1">
      <c r="A1002" s="342" t="str">
        <f>IF(B1002&lt;&gt;"",IF(AND(B1002='IN-TC'!$S$4,OR(TH!N1002="1111",TH!O1002="1111")),TH!D1002,""),"")</f>
        <v/>
      </c>
      <c r="B1002" s="63">
        <f t="shared" ref="B1002" si="121">IF(C1002&lt;&gt;"",MONTH(C1002),"")</f>
        <v>5</v>
      </c>
      <c r="C1002" s="64">
        <f>E1002</f>
        <v>42508</v>
      </c>
      <c r="D1002" s="64" t="s">
        <v>708</v>
      </c>
      <c r="E1002" s="64">
        <v>42508</v>
      </c>
      <c r="F1002" s="67" t="s">
        <v>1463</v>
      </c>
      <c r="G1002" s="995" t="s">
        <v>929</v>
      </c>
      <c r="H1002" s="7"/>
      <c r="I1002" s="446"/>
      <c r="J1002" s="446"/>
      <c r="K1002" s="437">
        <v>6800</v>
      </c>
      <c r="L1002" s="446">
        <v>22300</v>
      </c>
      <c r="M1002" s="65">
        <f t="shared" ref="M1002" si="122">ROUND(K1002*L1002,0)</f>
        <v>151640000</v>
      </c>
      <c r="N1002" s="66" t="s">
        <v>26</v>
      </c>
      <c r="O1002" s="66" t="s">
        <v>267</v>
      </c>
      <c r="P1002" s="85" t="str">
        <f>IF(AND('331-CT'!$E$7=TH!H1002,OR(N1002="331",O1002="331")),"x","")</f>
        <v/>
      </c>
      <c r="Q1002" s="85" t="str">
        <f>IF(AND(B1002='111'!$L$11,OR($N1002=$Q$7,$O1002=$Q$7)),"x","")</f>
        <v/>
      </c>
      <c r="R1002" s="85" t="str">
        <f>IF(AND($N1002=$Q$7,$B1002&lt;'111'!$L$11),"x","")</f>
        <v/>
      </c>
      <c r="S1002" s="85" t="str">
        <f>IF(AND($O1002=$Q$7,$B1002&lt;'111'!$L$11),"x","")</f>
        <v/>
      </c>
      <c r="T1002" s="85" t="str">
        <f>IF(ISERROR(FIND('112'!$M$9,G1002,1)),"",IF((AND(FIND('112'!$M$9,G1002,1)&gt;=1,B1002='112'!$K$9,OR($N1002='112'!$I$6,$O1002='112'!$I$6))),"x",""))</f>
        <v/>
      </c>
      <c r="U1002" s="85" t="str">
        <f>IF(ISERROR(FIND('112'!$M$9,G1002,1)),"",IF((AND(LEFT(G1002,2)=LEFT('112'!$M$9,2),B1002&lt;'112'!$K$9,$N1002='112'!$I$6)),"x",""))</f>
        <v/>
      </c>
      <c r="V1002" s="85" t="str">
        <f>IF(ISERROR(FIND('112'!$M$9,G1002,1)),"",IF((AND(RIGHT(G1002,2)=RIGHT('112'!$M$9,2),B1002&lt;'112'!$K$9,$O1002='112'!$I$6)),"x",""))</f>
        <v/>
      </c>
      <c r="W1002" s="85" t="str">
        <f>IF(AND('341-CT'!$H$9=H1002,OR(LEFT(N1002,3)=$W$7,LEFT(O1002,3)=$W$7)),"x","")</f>
        <v/>
      </c>
      <c r="X1002" s="85" t="str">
        <f>IF(OR(TH!N1002=TH!$X$7,O1002=TH!$X$7),"x","")</f>
        <v/>
      </c>
      <c r="Y1002" s="85" t="str">
        <f>IF(AND(OR(N1002="131",O1002="131"),H1002='131-CT'!$H$9),"x","")</f>
        <v/>
      </c>
      <c r="Z1002" s="85"/>
      <c r="AA1002" s="85" t="str">
        <f>IF(AND(MONTH(E1002)='IN-NX'!$J$5,'IN-NX'!$D$7=D1002),"x","")</f>
        <v/>
      </c>
      <c r="AB1002" s="85" t="str">
        <f>IF(AND(OR(LEFT(TH!N1002,2)="15",LEFT(TH!O1002,2)="15"),'152-CT'!$J$8=TH!F1002),"x","")</f>
        <v/>
      </c>
      <c r="AC1002" s="85" t="str">
        <f>IF(AND(OR(LEFT(TH!N1002,2)="15",LEFT(TH!O1002,2)="15"),TK!$E$7=TH!F1002),"x","")</f>
        <v/>
      </c>
      <c r="AD1002" s="85" t="str">
        <f>IF(AND(N1002="1521",MONTH(C1002)='BK-NL'!$M$11),"x","")</f>
        <v/>
      </c>
    </row>
    <row r="1003" spans="1:30" ht="15.75" customHeight="1">
      <c r="A1003" s="342" t="str">
        <f>IF(B1003&lt;&gt;"",IF(AND(B1003='IN-TC'!$S$4,OR(TH!N1003="1111",TH!O1003="1111")),TH!D1003,""),"")</f>
        <v/>
      </c>
      <c r="B1003" s="63">
        <f t="shared" si="78"/>
        <v>5</v>
      </c>
      <c r="C1003" s="64">
        <f t="shared" ref="C1003:C1009" si="123">E1003</f>
        <v>42510</v>
      </c>
      <c r="D1003" s="64" t="s">
        <v>705</v>
      </c>
      <c r="E1003" s="64">
        <v>42510</v>
      </c>
      <c r="F1003" s="67" t="s">
        <v>1475</v>
      </c>
      <c r="G1003" s="995" t="s">
        <v>929</v>
      </c>
      <c r="H1003" s="898" t="s">
        <v>1565</v>
      </c>
      <c r="I1003" s="446"/>
      <c r="J1003" s="446"/>
      <c r="K1003" s="437">
        <v>4991.58</v>
      </c>
      <c r="L1003" s="446">
        <v>22280</v>
      </c>
      <c r="M1003" s="65">
        <f t="shared" si="113"/>
        <v>111212402</v>
      </c>
      <c r="N1003" s="66" t="s">
        <v>267</v>
      </c>
      <c r="O1003" s="66" t="s">
        <v>591</v>
      </c>
      <c r="P1003" s="85" t="str">
        <f>IF(AND('331-CT'!$E$7=TH!H1003,OR(N1003="331",O1003="331")),"x","")</f>
        <v/>
      </c>
      <c r="Q1003" s="85" t="str">
        <f>IF(AND(B1003='111'!$L$11,OR($N1003=$Q$7,$O1003=$Q$7)),"x","")</f>
        <v/>
      </c>
      <c r="R1003" s="85" t="str">
        <f>IF(AND($N1003=$Q$7,$B1003&lt;'111'!$L$11),"x","")</f>
        <v/>
      </c>
      <c r="S1003" s="85" t="str">
        <f>IF(AND($O1003=$Q$7,$B1003&lt;'111'!$L$11),"x","")</f>
        <v/>
      </c>
      <c r="T1003" s="85" t="str">
        <f>IF(ISERROR(FIND('112'!$M$9,G1003,1)),"",IF((AND(FIND('112'!$M$9,G1003,1)&gt;=1,B1003='112'!$K$9,OR($N1003='112'!$I$6,$O1003='112'!$I$6))),"x",""))</f>
        <v/>
      </c>
      <c r="U1003" s="85" t="str">
        <f>IF(ISERROR(FIND('112'!$M$9,G1003,1)),"",IF((AND(LEFT(G1003,2)=LEFT('112'!$M$9,2),B1003&lt;'112'!$K$9,$N1003='112'!$I$6)),"x",""))</f>
        <v/>
      </c>
      <c r="V1003" s="85" t="str">
        <f>IF(ISERROR(FIND('112'!$M$9,G1003,1)),"",IF((AND(RIGHT(G1003,2)=RIGHT('112'!$M$9,2),B1003&lt;'112'!$K$9,$O1003='112'!$I$6)),"x",""))</f>
        <v/>
      </c>
      <c r="W1003" s="85" t="str">
        <f>IF(AND('341-CT'!$H$9=H1003,OR(LEFT(N1003,3)=$W$7,LEFT(O1003,3)=$W$7)),"x","")</f>
        <v/>
      </c>
      <c r="X1003" s="85" t="str">
        <f>IF(OR(TH!N1003=TH!$X$7,O1003=TH!$X$7),"x","")</f>
        <v/>
      </c>
      <c r="Y1003" s="85" t="str">
        <f>IF(AND(OR(N1003="131",O1003="131"),H1003='131-CT'!$H$9),"x","")</f>
        <v/>
      </c>
      <c r="Z1003" s="85"/>
      <c r="AA1003" s="85" t="str">
        <f>IF(AND(MONTH(E1003)='IN-NX'!$J$5,'IN-NX'!$D$7=D1003),"x","")</f>
        <v/>
      </c>
      <c r="AB1003" s="85" t="str">
        <f>IF(AND(OR(LEFT(TH!N1003,2)="15",LEFT(TH!O1003,2)="15"),'152-CT'!$J$8=TH!F1003),"x","")</f>
        <v/>
      </c>
      <c r="AC1003" s="85" t="str">
        <f>IF(AND(OR(LEFT(TH!N1003,2)="15",LEFT(TH!O1003,2)="15"),TK!$E$7=TH!F1003),"x","")</f>
        <v/>
      </c>
      <c r="AD1003" s="85" t="str">
        <f>IF(AND(N1003="1521",MONTH(C1003)='BK-NL'!$M$11),"x","")</f>
        <v/>
      </c>
    </row>
    <row r="1004" spans="1:30" ht="15.75" customHeight="1">
      <c r="A1004" s="342" t="str">
        <f>IF(B1004&lt;&gt;"",IF(AND(B1004='IN-TC'!$S$4,OR(TH!N1004="1111",TH!O1004="1111")),TH!D1004,""),"")</f>
        <v/>
      </c>
      <c r="B1004" s="63">
        <f t="shared" si="78"/>
        <v>5</v>
      </c>
      <c r="C1004" s="64">
        <f t="shared" si="123"/>
        <v>42510</v>
      </c>
      <c r="D1004" s="64" t="s">
        <v>585</v>
      </c>
      <c r="E1004" s="64">
        <v>42510</v>
      </c>
      <c r="F1004" s="67" t="s">
        <v>1537</v>
      </c>
      <c r="G1004" s="995" t="s">
        <v>929</v>
      </c>
      <c r="H1004" s="898" t="s">
        <v>1565</v>
      </c>
      <c r="I1004" s="446"/>
      <c r="J1004" s="446"/>
      <c r="K1004" s="437">
        <v>2.2000000000000002</v>
      </c>
      <c r="L1004" s="446">
        <v>22280</v>
      </c>
      <c r="M1004" s="65">
        <f t="shared" si="113"/>
        <v>49016</v>
      </c>
      <c r="N1004" s="66" t="s">
        <v>101</v>
      </c>
      <c r="O1004" s="66" t="s">
        <v>591</v>
      </c>
      <c r="P1004" s="85" t="str">
        <f>IF(AND('331-CT'!$E$7=TH!H1004,OR(N1004="331",O1004="331")),"x","")</f>
        <v/>
      </c>
      <c r="Q1004" s="85" t="str">
        <f>IF(AND(B1004='111'!$L$11,OR($N1004=$Q$7,$O1004=$Q$7)),"x","")</f>
        <v/>
      </c>
      <c r="R1004" s="85" t="str">
        <f>IF(AND($N1004=$Q$7,$B1004&lt;'111'!$L$11),"x","")</f>
        <v/>
      </c>
      <c r="S1004" s="85" t="str">
        <f>IF(AND($O1004=$Q$7,$B1004&lt;'111'!$L$11),"x","")</f>
        <v/>
      </c>
      <c r="T1004" s="85" t="str">
        <f>IF(ISERROR(FIND('112'!$M$9,G1004,1)),"",IF((AND(FIND('112'!$M$9,G1004,1)&gt;=1,B1004='112'!$K$9,OR($N1004='112'!$I$6,$O1004='112'!$I$6))),"x",""))</f>
        <v/>
      </c>
      <c r="U1004" s="85" t="str">
        <f>IF(ISERROR(FIND('112'!$M$9,G1004,1)),"",IF((AND(LEFT(G1004,2)=LEFT('112'!$M$9,2),B1004&lt;'112'!$K$9,$N1004='112'!$I$6)),"x",""))</f>
        <v/>
      </c>
      <c r="V1004" s="85" t="str">
        <f>IF(ISERROR(FIND('112'!$M$9,G1004,1)),"",IF((AND(RIGHT(G1004,2)=RIGHT('112'!$M$9,2),B1004&lt;'112'!$K$9,$O1004='112'!$I$6)),"x",""))</f>
        <v/>
      </c>
      <c r="W1004" s="85" t="str">
        <f>IF(AND('341-CT'!$H$9=H1004,OR(LEFT(N1004,3)=$W$7,LEFT(O1004,3)=$W$7)),"x","")</f>
        <v/>
      </c>
      <c r="X1004" s="85" t="str">
        <f>IF(OR(TH!N1004=TH!$X$7,O1004=TH!$X$7),"x","")</f>
        <v/>
      </c>
      <c r="Y1004" s="85" t="str">
        <f>IF(AND(OR(N1004="131",O1004="131"),H1004='131-CT'!$H$9),"x","")</f>
        <v/>
      </c>
      <c r="Z1004" s="85"/>
      <c r="AA1004" s="85" t="str">
        <f>IF(AND(MONTH(E1004)='IN-NX'!$J$5,'IN-NX'!$D$7=D1004),"x","")</f>
        <v/>
      </c>
      <c r="AB1004" s="85" t="str">
        <f>IF(AND(OR(LEFT(TH!N1004,2)="15",LEFT(TH!O1004,2)="15"),'152-CT'!$J$8=TH!F1004),"x","")</f>
        <v/>
      </c>
      <c r="AC1004" s="85" t="str">
        <f>IF(AND(OR(LEFT(TH!N1004,2)="15",LEFT(TH!O1004,2)="15"),TK!$E$7=TH!F1004),"x","")</f>
        <v/>
      </c>
      <c r="AD1004" s="85" t="str">
        <f>IF(AND(N1004="1521",MONTH(C1004)='BK-NL'!$M$11),"x","")</f>
        <v/>
      </c>
    </row>
    <row r="1005" spans="1:30" ht="15.75" customHeight="1">
      <c r="A1005" s="342" t="str">
        <f>IF(B1005&lt;&gt;"",IF(AND(B1005='IN-TC'!$S$4,OR(TH!N1005="1111",TH!O1005="1111")),TH!D1005,""),"")</f>
        <v/>
      </c>
      <c r="B1005" s="63">
        <f t="shared" si="78"/>
        <v>5</v>
      </c>
      <c r="C1005" s="64">
        <f>E1005</f>
        <v>42510</v>
      </c>
      <c r="D1005" s="64" t="s">
        <v>585</v>
      </c>
      <c r="E1005" s="64">
        <v>42510</v>
      </c>
      <c r="F1005" s="67" t="s">
        <v>1538</v>
      </c>
      <c r="G1005" s="995" t="s">
        <v>929</v>
      </c>
      <c r="H1005" s="898" t="s">
        <v>1565</v>
      </c>
      <c r="I1005" s="446"/>
      <c r="J1005" s="446"/>
      <c r="K1005" s="437">
        <v>0.22</v>
      </c>
      <c r="L1005" s="446">
        <v>22280</v>
      </c>
      <c r="M1005" s="65">
        <f t="shared" si="113"/>
        <v>4902</v>
      </c>
      <c r="N1005" s="66" t="s">
        <v>9</v>
      </c>
      <c r="O1005" s="66" t="s">
        <v>591</v>
      </c>
      <c r="P1005" s="85" t="str">
        <f>IF(AND('331-CT'!$E$7=TH!H1005,OR(N1005="331",O1005="331")),"x","")</f>
        <v/>
      </c>
      <c r="Q1005" s="85" t="str">
        <f>IF(AND(B1005='111'!$L$11,OR($N1005=$Q$7,$O1005=$Q$7)),"x","")</f>
        <v/>
      </c>
      <c r="R1005" s="85" t="str">
        <f>IF(AND($N1005=$Q$7,$B1005&lt;'111'!$L$11),"x","")</f>
        <v/>
      </c>
      <c r="S1005" s="85" t="str">
        <f>IF(AND($O1005=$Q$7,$B1005&lt;'111'!$L$11),"x","")</f>
        <v/>
      </c>
      <c r="T1005" s="85" t="str">
        <f>IF(ISERROR(FIND('112'!$M$9,G1005,1)),"",IF((AND(FIND('112'!$M$9,G1005,1)&gt;=1,B1005='112'!$K$9,OR($N1005='112'!$I$6,$O1005='112'!$I$6))),"x",""))</f>
        <v/>
      </c>
      <c r="U1005" s="85" t="str">
        <f>IF(ISERROR(FIND('112'!$M$9,G1005,1)),"",IF((AND(LEFT(G1005,2)=LEFT('112'!$M$9,2),B1005&lt;'112'!$K$9,$N1005='112'!$I$6)),"x",""))</f>
        <v/>
      </c>
      <c r="V1005" s="85" t="str">
        <f>IF(ISERROR(FIND('112'!$M$9,G1005,1)),"",IF((AND(RIGHT(G1005,2)=RIGHT('112'!$M$9,2),B1005&lt;'112'!$K$9,$O1005='112'!$I$6)),"x",""))</f>
        <v/>
      </c>
      <c r="W1005" s="85" t="str">
        <f>IF(AND('341-CT'!$H$9=H1005,OR(LEFT(N1005,3)=$W$7,LEFT(O1005,3)=$W$7)),"x","")</f>
        <v/>
      </c>
      <c r="X1005" s="85" t="str">
        <f>IF(OR(TH!N1005=TH!$X$7,O1005=TH!$X$7),"x","")</f>
        <v/>
      </c>
      <c r="Y1005" s="85" t="str">
        <f>IF(AND(OR(N1005="131",O1005="131"),H1005='131-CT'!$H$9),"x","")</f>
        <v/>
      </c>
      <c r="Z1005" s="85"/>
      <c r="AA1005" s="85" t="str">
        <f>IF(AND(MONTH(E1005)='IN-NX'!$J$5,'IN-NX'!$D$7=D1005),"x","")</f>
        <v/>
      </c>
      <c r="AB1005" s="85" t="str">
        <f>IF(AND(OR(LEFT(TH!N1005,2)="15",LEFT(TH!O1005,2)="15"),'152-CT'!$J$8=TH!F1005),"x","")</f>
        <v/>
      </c>
      <c r="AC1005" s="85" t="str">
        <f>IF(AND(OR(LEFT(TH!N1005,2)="15",LEFT(TH!O1005,2)="15"),TK!$E$7=TH!F1005),"x","")</f>
        <v/>
      </c>
      <c r="AD1005" s="85" t="str">
        <f>IF(AND(N1005="1521",MONTH(C1005)='BK-NL'!$M$11),"x","")</f>
        <v/>
      </c>
    </row>
    <row r="1006" spans="1:30" ht="15.75" customHeight="1">
      <c r="A1006" s="342" t="str">
        <f>IF(B1006&lt;&gt;"",IF(AND(B1006='IN-TC'!$S$4,OR(TH!N1006="1111",TH!O1006="1111")),TH!D1006,""),"")</f>
        <v/>
      </c>
      <c r="B1006" s="63">
        <f t="shared" si="78"/>
        <v>5</v>
      </c>
      <c r="C1006" s="64">
        <f t="shared" si="123"/>
        <v>42510</v>
      </c>
      <c r="D1006" s="64" t="s">
        <v>585</v>
      </c>
      <c r="E1006" s="64">
        <v>42510</v>
      </c>
      <c r="F1006" s="321" t="s">
        <v>1539</v>
      </c>
      <c r="G1006" s="995" t="s">
        <v>929</v>
      </c>
      <c r="H1006" s="898" t="s">
        <v>1565</v>
      </c>
      <c r="I1006" s="446"/>
      <c r="J1006" s="446"/>
      <c r="K1006" s="437">
        <v>3</v>
      </c>
      <c r="L1006" s="446">
        <v>22280</v>
      </c>
      <c r="M1006" s="65">
        <f t="shared" si="113"/>
        <v>66840</v>
      </c>
      <c r="N1006" s="66" t="s">
        <v>101</v>
      </c>
      <c r="O1006" s="66" t="s">
        <v>591</v>
      </c>
      <c r="P1006" s="85" t="str">
        <f>IF(AND('331-CT'!$E$7=TH!H1006,OR(N1006="331",O1006="331")),"x","")</f>
        <v/>
      </c>
      <c r="Q1006" s="85" t="str">
        <f>IF(AND(B1006='111'!$L$11,OR($N1006=$Q$7,$O1006=$Q$7)),"x","")</f>
        <v/>
      </c>
      <c r="R1006" s="85" t="str">
        <f>IF(AND($N1006=$Q$7,$B1006&lt;'111'!$L$11),"x","")</f>
        <v/>
      </c>
      <c r="S1006" s="85" t="str">
        <f>IF(AND($O1006=$Q$7,$B1006&lt;'111'!$L$11),"x","")</f>
        <v/>
      </c>
      <c r="T1006" s="85" t="str">
        <f>IF(ISERROR(FIND('112'!$M$9,G1006,1)),"",IF((AND(FIND('112'!$M$9,G1006,1)&gt;=1,B1006='112'!$K$9,OR($N1006='112'!$I$6,$O1006='112'!$I$6))),"x",""))</f>
        <v/>
      </c>
      <c r="U1006" s="85" t="str">
        <f>IF(ISERROR(FIND('112'!$M$9,G1006,1)),"",IF((AND(LEFT(G1006,2)=LEFT('112'!$M$9,2),B1006&lt;'112'!$K$9,$N1006='112'!$I$6)),"x",""))</f>
        <v/>
      </c>
      <c r="V1006" s="85" t="str">
        <f>IF(ISERROR(FIND('112'!$M$9,G1006,1)),"",IF((AND(RIGHT(G1006,2)=RIGHT('112'!$M$9,2),B1006&lt;'112'!$K$9,$O1006='112'!$I$6)),"x",""))</f>
        <v/>
      </c>
      <c r="W1006" s="85" t="str">
        <f>IF(AND('341-CT'!$H$9=H1006,OR(LEFT(N1006,3)=$W$7,LEFT(O1006,3)=$W$7)),"x","")</f>
        <v/>
      </c>
      <c r="X1006" s="85" t="str">
        <f>IF(OR(TH!N1006=TH!$X$7,O1006=TH!$X$7),"x","")</f>
        <v/>
      </c>
      <c r="Y1006" s="85" t="str">
        <f>IF(AND(OR(N1006="131",O1006="131"),H1006='131-CT'!$H$9),"x","")</f>
        <v/>
      </c>
      <c r="Z1006" s="85"/>
      <c r="AA1006" s="85" t="str">
        <f>IF(AND(MONTH(E1006)='IN-NX'!$J$5,'IN-NX'!$D$7=D1006),"x","")</f>
        <v/>
      </c>
      <c r="AB1006" s="85" t="str">
        <f>IF(AND(OR(LEFT(TH!N1006,2)="15",LEFT(TH!O1006,2)="15"),'152-CT'!$J$8=TH!F1006),"x","")</f>
        <v/>
      </c>
      <c r="AC1006" s="85" t="str">
        <f>IF(AND(OR(LEFT(TH!N1006,2)="15",LEFT(TH!O1006,2)="15"),TK!$E$7=TH!F1006),"x","")</f>
        <v/>
      </c>
      <c r="AD1006" s="85" t="str">
        <f>IF(AND(N1006="1521",MONTH(C1006)='BK-NL'!$M$11),"x","")</f>
        <v/>
      </c>
    </row>
    <row r="1007" spans="1:30" ht="15.75" customHeight="1">
      <c r="A1007" s="342" t="str">
        <f>IF(B1007&lt;&gt;"",IF(AND(B1007='IN-TC'!$S$4,OR(TH!N1007="1111",TH!O1007="1111")),TH!D1007,""),"")</f>
        <v/>
      </c>
      <c r="B1007" s="63">
        <f t="shared" ref="B1007" si="124">IF(C1007&lt;&gt;"",MONTH(C1007),"")</f>
        <v>5</v>
      </c>
      <c r="C1007" s="64">
        <f>E1007</f>
        <v>42510</v>
      </c>
      <c r="D1007" s="64" t="s">
        <v>708</v>
      </c>
      <c r="E1007" s="64">
        <v>42510</v>
      </c>
      <c r="F1007" s="67" t="s">
        <v>1463</v>
      </c>
      <c r="G1007" s="995" t="s">
        <v>929</v>
      </c>
      <c r="H1007" s="7"/>
      <c r="I1007" s="446"/>
      <c r="J1007" s="446"/>
      <c r="K1007" s="437">
        <v>5000</v>
      </c>
      <c r="L1007" s="446">
        <v>22290</v>
      </c>
      <c r="M1007" s="65">
        <f t="shared" si="113"/>
        <v>111450000</v>
      </c>
      <c r="N1007" s="66" t="s">
        <v>26</v>
      </c>
      <c r="O1007" s="66" t="s">
        <v>267</v>
      </c>
      <c r="P1007" s="85" t="str">
        <f>IF(AND('331-CT'!$E$7=TH!H1007,OR(N1007="331",O1007="331")),"x","")</f>
        <v/>
      </c>
      <c r="Q1007" s="85" t="str">
        <f>IF(AND(B1007='111'!$L$11,OR($N1007=$Q$7,$O1007=$Q$7)),"x","")</f>
        <v/>
      </c>
      <c r="R1007" s="85" t="str">
        <f>IF(AND($N1007=$Q$7,$B1007&lt;'111'!$L$11),"x","")</f>
        <v/>
      </c>
      <c r="S1007" s="85" t="str">
        <f>IF(AND($O1007=$Q$7,$B1007&lt;'111'!$L$11),"x","")</f>
        <v/>
      </c>
      <c r="T1007" s="85" t="str">
        <f>IF(ISERROR(FIND('112'!$M$9,G1007,1)),"",IF((AND(FIND('112'!$M$9,G1007,1)&gt;=1,B1007='112'!$K$9,OR($N1007='112'!$I$6,$O1007='112'!$I$6))),"x",""))</f>
        <v/>
      </c>
      <c r="U1007" s="85" t="str">
        <f>IF(ISERROR(FIND('112'!$M$9,G1007,1)),"",IF((AND(LEFT(G1007,2)=LEFT('112'!$M$9,2),B1007&lt;'112'!$K$9,$N1007='112'!$I$6)),"x",""))</f>
        <v/>
      </c>
      <c r="V1007" s="85" t="str">
        <f>IF(ISERROR(FIND('112'!$M$9,G1007,1)),"",IF((AND(RIGHT(G1007,2)=RIGHT('112'!$M$9,2),B1007&lt;'112'!$K$9,$O1007='112'!$I$6)),"x",""))</f>
        <v/>
      </c>
      <c r="W1007" s="85" t="str">
        <f>IF(AND('341-CT'!$H$9=H1007,OR(LEFT(N1007,3)=$W$7,LEFT(O1007,3)=$W$7)),"x","")</f>
        <v/>
      </c>
      <c r="X1007" s="85" t="str">
        <f>IF(OR(TH!N1007=TH!$X$7,O1007=TH!$X$7),"x","")</f>
        <v/>
      </c>
      <c r="Y1007" s="85" t="str">
        <f>IF(AND(OR(N1007="131",O1007="131"),H1007='131-CT'!$H$9),"x","")</f>
        <v/>
      </c>
      <c r="Z1007" s="85"/>
      <c r="AA1007" s="85" t="str">
        <f>IF(AND(MONTH(E1007)='IN-NX'!$J$5,'IN-NX'!$D$7=D1007),"x","")</f>
        <v/>
      </c>
      <c r="AB1007" s="85" t="str">
        <f>IF(AND(OR(LEFT(TH!N1007,2)="15",LEFT(TH!O1007,2)="15"),'152-CT'!$J$8=TH!F1007),"x","")</f>
        <v/>
      </c>
      <c r="AC1007" s="85" t="str">
        <f>IF(AND(OR(LEFT(TH!N1007,2)="15",LEFT(TH!O1007,2)="15"),TK!$E$7=TH!F1007),"x","")</f>
        <v/>
      </c>
      <c r="AD1007" s="85" t="str">
        <f>IF(AND(N1007="1521",MONTH(C1007)='BK-NL'!$M$11),"x","")</f>
        <v/>
      </c>
    </row>
    <row r="1008" spans="1:30" ht="15.75" customHeight="1">
      <c r="A1008" s="342" t="str">
        <f>IF(B1008&lt;&gt;"",IF(AND(B1008='IN-TC'!$S$4,OR(TH!N1008="1111",TH!O1008="1111")),TH!D1008,""),"")</f>
        <v/>
      </c>
      <c r="B1008" s="63">
        <f t="shared" ref="B1008:B1166" si="125">IF(C1008&lt;&gt;"",MONTH(C1008),"")</f>
        <v>5</v>
      </c>
      <c r="C1008" s="64">
        <f t="shared" si="123"/>
        <v>42517</v>
      </c>
      <c r="D1008" s="64" t="s">
        <v>705</v>
      </c>
      <c r="E1008" s="320">
        <v>42517</v>
      </c>
      <c r="F1008" s="67" t="s">
        <v>1475</v>
      </c>
      <c r="G1008" s="995" t="s">
        <v>929</v>
      </c>
      <c r="H1008" s="898" t="s">
        <v>601</v>
      </c>
      <c r="I1008" s="446"/>
      <c r="J1008" s="446"/>
      <c r="K1008" s="437">
        <v>41493</v>
      </c>
      <c r="L1008" s="446">
        <v>22290</v>
      </c>
      <c r="M1008" s="65">
        <f t="shared" si="113"/>
        <v>924878970</v>
      </c>
      <c r="N1008" s="66" t="s">
        <v>267</v>
      </c>
      <c r="O1008" s="66" t="s">
        <v>591</v>
      </c>
      <c r="P1008" s="85" t="str">
        <f>IF(AND('331-CT'!$E$7=TH!H1008,OR(N1008="331",O1008="331")),"x","")</f>
        <v/>
      </c>
      <c r="Q1008" s="85" t="str">
        <f>IF(AND(B1008='111'!$L$11,OR($N1008=$Q$7,$O1008=$Q$7)),"x","")</f>
        <v/>
      </c>
      <c r="R1008" s="85" t="str">
        <f>IF(AND($N1008=$Q$7,$B1008&lt;'111'!$L$11),"x","")</f>
        <v/>
      </c>
      <c r="S1008" s="85" t="str">
        <f>IF(AND($O1008=$Q$7,$B1008&lt;'111'!$L$11),"x","")</f>
        <v/>
      </c>
      <c r="T1008" s="85" t="str">
        <f>IF(ISERROR(FIND('112'!$M$9,G1008,1)),"",IF((AND(FIND('112'!$M$9,G1008,1)&gt;=1,B1008='112'!$K$9,OR($N1008='112'!$I$6,$O1008='112'!$I$6))),"x",""))</f>
        <v/>
      </c>
      <c r="U1008" s="85" t="str">
        <f>IF(ISERROR(FIND('112'!$M$9,G1008,1)),"",IF((AND(LEFT(G1008,2)=LEFT('112'!$M$9,2),B1008&lt;'112'!$K$9,$N1008='112'!$I$6)),"x",""))</f>
        <v/>
      </c>
      <c r="V1008" s="85" t="str">
        <f>IF(ISERROR(FIND('112'!$M$9,G1008,1)),"",IF((AND(RIGHT(G1008,2)=RIGHT('112'!$M$9,2),B1008&lt;'112'!$K$9,$O1008='112'!$I$6)),"x",""))</f>
        <v/>
      </c>
      <c r="W1008" s="85" t="str">
        <f>IF(AND('341-CT'!$H$9=H1008,OR(LEFT(N1008,3)=$W$7,LEFT(O1008,3)=$W$7)),"x","")</f>
        <v/>
      </c>
      <c r="X1008" s="85" t="str">
        <f>IF(OR(TH!N1008=TH!$X$7,O1008=TH!$X$7),"x","")</f>
        <v/>
      </c>
      <c r="Y1008" s="85" t="str">
        <f>IF(AND(OR(N1008="131",O1008="131"),H1008='131-CT'!$H$9),"x","")</f>
        <v/>
      </c>
      <c r="Z1008" s="85"/>
      <c r="AA1008" s="85" t="str">
        <f>IF(AND(MONTH(E1008)='IN-NX'!$J$5,'IN-NX'!$D$7=D1008),"x","")</f>
        <v/>
      </c>
      <c r="AB1008" s="85" t="str">
        <f>IF(AND(OR(LEFT(TH!N1008,2)="15",LEFT(TH!O1008,2)="15"),'152-CT'!$J$8=TH!F1008),"x","")</f>
        <v/>
      </c>
      <c r="AC1008" s="85" t="str">
        <f>IF(AND(OR(LEFT(TH!N1008,2)="15",LEFT(TH!O1008,2)="15"),TK!$E$7=TH!F1008),"x","")</f>
        <v/>
      </c>
      <c r="AD1008" s="85" t="str">
        <f>IF(AND(N1008="1521",MONTH(C1008)='BK-NL'!$M$11),"x","")</f>
        <v/>
      </c>
    </row>
    <row r="1009" spans="1:30" ht="15.75" customHeight="1">
      <c r="A1009" s="342" t="str">
        <f>IF(B1009&lt;&gt;"",IF(AND(B1009='IN-TC'!$S$4,OR(TH!N1009="1111",TH!O1009="1111")),TH!D1009,""),"")</f>
        <v/>
      </c>
      <c r="B1009" s="63">
        <f t="shared" si="125"/>
        <v>5</v>
      </c>
      <c r="C1009" s="64">
        <f t="shared" si="123"/>
        <v>42517</v>
      </c>
      <c r="D1009" s="64" t="s">
        <v>585</v>
      </c>
      <c r="E1009" s="320">
        <v>42517</v>
      </c>
      <c r="F1009" s="321" t="s">
        <v>1539</v>
      </c>
      <c r="G1009" s="995" t="s">
        <v>929</v>
      </c>
      <c r="H1009" s="898" t="s">
        <v>601</v>
      </c>
      <c r="I1009" s="446"/>
      <c r="J1009" s="446"/>
      <c r="K1009" s="437">
        <v>267</v>
      </c>
      <c r="L1009" s="446">
        <v>22290</v>
      </c>
      <c r="M1009" s="65">
        <f t="shared" si="113"/>
        <v>5951430</v>
      </c>
      <c r="N1009" s="66" t="s">
        <v>101</v>
      </c>
      <c r="O1009" s="66" t="s">
        <v>591</v>
      </c>
      <c r="P1009" s="85" t="str">
        <f>IF(AND('331-CT'!$E$7=TH!H1009,OR(N1009="331",O1009="331")),"x","")</f>
        <v/>
      </c>
      <c r="Q1009" s="85" t="str">
        <f>IF(AND(B1009='111'!$L$11,OR($N1009=$Q$7,$O1009=$Q$7)),"x","")</f>
        <v/>
      </c>
      <c r="R1009" s="85" t="str">
        <f>IF(AND($N1009=$Q$7,$B1009&lt;'111'!$L$11),"x","")</f>
        <v/>
      </c>
      <c r="S1009" s="85" t="str">
        <f>IF(AND($O1009=$Q$7,$B1009&lt;'111'!$L$11),"x","")</f>
        <v/>
      </c>
      <c r="T1009" s="85" t="str">
        <f>IF(ISERROR(FIND('112'!$M$9,G1009,1)),"",IF((AND(FIND('112'!$M$9,G1009,1)&gt;=1,B1009='112'!$K$9,OR($N1009='112'!$I$6,$O1009='112'!$I$6))),"x",""))</f>
        <v/>
      </c>
      <c r="U1009" s="85" t="str">
        <f>IF(ISERROR(FIND('112'!$M$9,G1009,1)),"",IF((AND(LEFT(G1009,2)=LEFT('112'!$M$9,2),B1009&lt;'112'!$K$9,$N1009='112'!$I$6)),"x",""))</f>
        <v/>
      </c>
      <c r="V1009" s="85" t="str">
        <f>IF(ISERROR(FIND('112'!$M$9,G1009,1)),"",IF((AND(RIGHT(G1009,2)=RIGHT('112'!$M$9,2),B1009&lt;'112'!$K$9,$O1009='112'!$I$6)),"x",""))</f>
        <v/>
      </c>
      <c r="W1009" s="85" t="str">
        <f>IF(AND('341-CT'!$H$9=H1009,OR(LEFT(N1009,3)=$W$7,LEFT(O1009,3)=$W$7)),"x","")</f>
        <v/>
      </c>
      <c r="X1009" s="85" t="str">
        <f>IF(OR(TH!N1009=TH!$X$7,O1009=TH!$X$7),"x","")</f>
        <v/>
      </c>
      <c r="Y1009" s="85" t="str">
        <f>IF(AND(OR(N1009="131",O1009="131"),H1009='131-CT'!$H$9),"x","")</f>
        <v/>
      </c>
      <c r="Z1009" s="85"/>
      <c r="AA1009" s="85" t="str">
        <f>IF(AND(MONTH(E1009)='IN-NX'!$J$5,'IN-NX'!$D$7=D1009),"x","")</f>
        <v/>
      </c>
      <c r="AB1009" s="85" t="str">
        <f>IF(AND(OR(LEFT(TH!N1009,2)="15",LEFT(TH!O1009,2)="15"),'152-CT'!$J$8=TH!F1009),"x","")</f>
        <v/>
      </c>
      <c r="AC1009" s="85" t="str">
        <f>IF(AND(OR(LEFT(TH!N1009,2)="15",LEFT(TH!O1009,2)="15"),TK!$E$7=TH!F1009),"x","")</f>
        <v/>
      </c>
      <c r="AD1009" s="85" t="str">
        <f>IF(AND(N1009="1521",MONTH(C1009)='BK-NL'!$M$11),"x","")</f>
        <v/>
      </c>
    </row>
    <row r="1010" spans="1:30" ht="15.75" customHeight="1">
      <c r="A1010" s="342" t="str">
        <f>IF(B1010&lt;&gt;"",IF(AND(B1010='IN-TC'!$S$4,OR(TH!N1010="1111",TH!O1010="1111")),TH!D1010,""),"")</f>
        <v/>
      </c>
      <c r="B1010" s="63">
        <f t="shared" si="125"/>
        <v>5</v>
      </c>
      <c r="C1010" s="64">
        <f>E1010</f>
        <v>42517</v>
      </c>
      <c r="D1010" s="64" t="s">
        <v>585</v>
      </c>
      <c r="E1010" s="320">
        <v>42517</v>
      </c>
      <c r="F1010" s="321" t="s">
        <v>1079</v>
      </c>
      <c r="G1010" s="995"/>
      <c r="H1010" s="898" t="s">
        <v>601</v>
      </c>
      <c r="I1010" s="446"/>
      <c r="J1010" s="446"/>
      <c r="K1010" s="437"/>
      <c r="L1010" s="446"/>
      <c r="M1010" s="65">
        <v>1461600</v>
      </c>
      <c r="N1010" s="66" t="s">
        <v>591</v>
      </c>
      <c r="O1010" s="66" t="s">
        <v>43</v>
      </c>
      <c r="P1010" s="85" t="str">
        <f>IF(AND('331-CT'!$E$7=TH!H1010,OR(N1010="331",O1010="331")),"x","")</f>
        <v/>
      </c>
      <c r="Q1010" s="85" t="str">
        <f>IF(AND(B1010='111'!$L$11,OR($N1010=$Q$7,$O1010=$Q$7)),"x","")</f>
        <v/>
      </c>
      <c r="R1010" s="85" t="str">
        <f>IF(AND($N1010=$Q$7,$B1010&lt;'111'!$L$11),"x","")</f>
        <v/>
      </c>
      <c r="S1010" s="85" t="str">
        <f>IF(AND($O1010=$Q$7,$B1010&lt;'111'!$L$11),"x","")</f>
        <v/>
      </c>
      <c r="T1010" s="85" t="str">
        <f>IF(ISERROR(FIND('112'!$M$9,G1010,1)),"",IF((AND(FIND('112'!$M$9,G1010,1)&gt;=1,B1010='112'!$K$9,OR($N1010='112'!$I$6,$O1010='112'!$I$6))),"x",""))</f>
        <v/>
      </c>
      <c r="U1010" s="85" t="str">
        <f>IF(ISERROR(FIND('112'!$M$9,G1010,1)),"",IF((AND(LEFT(G1010,2)=LEFT('112'!$M$9,2),B1010&lt;'112'!$K$9,$N1010='112'!$I$6)),"x",""))</f>
        <v/>
      </c>
      <c r="V1010" s="85" t="str">
        <f>IF(ISERROR(FIND('112'!$M$9,G1010,1)),"",IF((AND(RIGHT(G1010,2)=RIGHT('112'!$M$9,2),B1010&lt;'112'!$K$9,$O1010='112'!$I$6)),"x",""))</f>
        <v/>
      </c>
      <c r="W1010" s="85" t="str">
        <f>IF(AND('341-CT'!$H$9=H1010,OR(LEFT(N1010,3)=$W$7,LEFT(O1010,3)=$W$7)),"x","")</f>
        <v/>
      </c>
      <c r="X1010" s="85" t="str">
        <f>IF(OR(TH!N1010=TH!$X$7,O1010=TH!$X$7),"x","")</f>
        <v/>
      </c>
      <c r="Y1010" s="85" t="str">
        <f>IF(AND(OR(N1010="131",O1010="131"),H1010='131-CT'!$H$9),"x","")</f>
        <v/>
      </c>
      <c r="Z1010" s="85"/>
      <c r="AA1010" s="85" t="str">
        <f>IF(AND(MONTH(E1010)='IN-NX'!$J$5,'IN-NX'!$D$7=D1010),"x","")</f>
        <v/>
      </c>
      <c r="AB1010" s="85" t="str">
        <f>IF(AND(OR(LEFT(TH!N1010,2)="15",LEFT(TH!O1010,2)="15"),'152-CT'!$J$8=TH!F1010),"x","")</f>
        <v/>
      </c>
      <c r="AC1010" s="85" t="str">
        <f>IF(AND(OR(LEFT(TH!N1010,2)="15",LEFT(TH!O1010,2)="15"),TK!$E$7=TH!F1010),"x","")</f>
        <v/>
      </c>
      <c r="AD1010" s="85" t="str">
        <f>IF(AND(N1010="1521",MONTH(C1010)='BK-NL'!$M$11),"x","")</f>
        <v/>
      </c>
    </row>
    <row r="1011" spans="1:30" ht="15.75" customHeight="1">
      <c r="A1011" s="342" t="str">
        <f>IF(B1011&lt;&gt;"",IF(AND(B1011='IN-TC'!$S$4,OR(TH!N1011="1111",TH!O1011="1111")),TH!D1011,""),"")</f>
        <v/>
      </c>
      <c r="B1011" s="63">
        <f t="shared" si="125"/>
        <v>5</v>
      </c>
      <c r="C1011" s="64">
        <f>E1011</f>
        <v>42517</v>
      </c>
      <c r="D1011" s="64" t="s">
        <v>708</v>
      </c>
      <c r="E1011" s="320">
        <v>42517</v>
      </c>
      <c r="F1011" s="67" t="s">
        <v>1463</v>
      </c>
      <c r="G1011" s="995" t="s">
        <v>929</v>
      </c>
      <c r="H1011" s="898" t="s">
        <v>1567</v>
      </c>
      <c r="I1011" s="446"/>
      <c r="J1011" s="446"/>
      <c r="K1011" s="437">
        <v>37580</v>
      </c>
      <c r="L1011" s="446">
        <v>22290</v>
      </c>
      <c r="M1011" s="65">
        <f t="shared" ref="M1011" si="126">ROUND(K1011*L1011,0)</f>
        <v>837658200</v>
      </c>
      <c r="N1011" s="66" t="s">
        <v>26</v>
      </c>
      <c r="O1011" s="66" t="s">
        <v>267</v>
      </c>
      <c r="P1011" s="85" t="str">
        <f>IF(AND('331-CT'!$E$7=TH!H1011,OR(N1011="331",O1011="331")),"x","")</f>
        <v/>
      </c>
      <c r="Q1011" s="85" t="str">
        <f>IF(AND(B1011='111'!$L$11,OR($N1011=$Q$7,$O1011=$Q$7)),"x","")</f>
        <v/>
      </c>
      <c r="R1011" s="85" t="str">
        <f>IF(AND($N1011=$Q$7,$B1011&lt;'111'!$L$11),"x","")</f>
        <v/>
      </c>
      <c r="S1011" s="85" t="str">
        <f>IF(AND($O1011=$Q$7,$B1011&lt;'111'!$L$11),"x","")</f>
        <v/>
      </c>
      <c r="T1011" s="85" t="str">
        <f>IF(ISERROR(FIND('112'!$M$9,G1011,1)),"",IF((AND(FIND('112'!$M$9,G1011,1)&gt;=1,B1011='112'!$K$9,OR($N1011='112'!$I$6,$O1011='112'!$I$6))),"x",""))</f>
        <v/>
      </c>
      <c r="U1011" s="85" t="str">
        <f>IF(ISERROR(FIND('112'!$M$9,G1011,1)),"",IF((AND(LEFT(G1011,2)=LEFT('112'!$M$9,2),B1011&lt;'112'!$K$9,$N1011='112'!$I$6)),"x",""))</f>
        <v/>
      </c>
      <c r="V1011" s="85" t="str">
        <f>IF(ISERROR(FIND('112'!$M$9,G1011,1)),"",IF((AND(RIGHT(G1011,2)=RIGHT('112'!$M$9,2),B1011&lt;'112'!$K$9,$O1011='112'!$I$6)),"x",""))</f>
        <v/>
      </c>
      <c r="W1011" s="85" t="str">
        <f>IF(AND('341-CT'!$H$9=H1011,OR(LEFT(N1011,3)=$W$7,LEFT(O1011,3)=$W$7)),"x","")</f>
        <v/>
      </c>
      <c r="X1011" s="85" t="str">
        <f>IF(OR(TH!N1011=TH!$X$7,O1011=TH!$X$7),"x","")</f>
        <v/>
      </c>
      <c r="Y1011" s="85" t="str">
        <f>IF(AND(OR(N1011="131",O1011="131"),H1011='131-CT'!$H$9),"x","")</f>
        <v/>
      </c>
      <c r="Z1011" s="85"/>
      <c r="AA1011" s="85" t="str">
        <f>IF(AND(MONTH(E1011)='IN-NX'!$J$5,'IN-NX'!$D$7=D1011),"x","")</f>
        <v/>
      </c>
      <c r="AB1011" s="85" t="str">
        <f>IF(AND(OR(LEFT(TH!N1011,2)="15",LEFT(TH!O1011,2)="15"),'152-CT'!$J$8=TH!F1011),"x","")</f>
        <v/>
      </c>
      <c r="AC1011" s="85" t="str">
        <f>IF(AND(OR(LEFT(TH!N1011,2)="15",LEFT(TH!O1011,2)="15"),TK!$E$7=TH!F1011),"x","")</f>
        <v/>
      </c>
      <c r="AD1011" s="85" t="str">
        <f>IF(AND(N1011="1521",MONTH(C1011)='BK-NL'!$M$11),"x","")</f>
        <v/>
      </c>
    </row>
    <row r="1012" spans="1:30" ht="15.75" customHeight="1">
      <c r="A1012" s="342" t="str">
        <f>IF(B1012&lt;&gt;"",IF(AND(B1012='IN-TC'!$S$4,OR(TH!N1012="1111",TH!O1012="1111")),TH!D1012,""),"")</f>
        <v/>
      </c>
      <c r="B1012" s="63">
        <f t="shared" si="125"/>
        <v>5</v>
      </c>
      <c r="C1012" s="64">
        <f>E1012</f>
        <v>42518</v>
      </c>
      <c r="D1012" s="64" t="s">
        <v>708</v>
      </c>
      <c r="E1012" s="320">
        <v>42518</v>
      </c>
      <c r="F1012" s="67" t="s">
        <v>1463</v>
      </c>
      <c r="G1012" s="995" t="s">
        <v>929</v>
      </c>
      <c r="H1012" s="7"/>
      <c r="I1012" s="446"/>
      <c r="J1012" s="446"/>
      <c r="K1012" s="437">
        <v>3900</v>
      </c>
      <c r="L1012" s="446">
        <v>22360</v>
      </c>
      <c r="M1012" s="65">
        <f t="shared" ref="M1012" si="127">ROUND(K1012*L1012,0)</f>
        <v>87204000</v>
      </c>
      <c r="N1012" s="66" t="s">
        <v>26</v>
      </c>
      <c r="O1012" s="66" t="s">
        <v>267</v>
      </c>
      <c r="P1012" s="85" t="str">
        <f>IF(AND('331-CT'!$E$7=TH!H1012,OR(N1012="331",O1012="331")),"x","")</f>
        <v/>
      </c>
      <c r="Q1012" s="85" t="str">
        <f>IF(AND(B1012='111'!$L$11,OR($N1012=$Q$7,$O1012=$Q$7)),"x","")</f>
        <v/>
      </c>
      <c r="R1012" s="85" t="str">
        <f>IF(AND($N1012=$Q$7,$B1012&lt;'111'!$L$11),"x","")</f>
        <v/>
      </c>
      <c r="S1012" s="85" t="str">
        <f>IF(AND($O1012=$Q$7,$B1012&lt;'111'!$L$11),"x","")</f>
        <v/>
      </c>
      <c r="T1012" s="85" t="str">
        <f>IF(ISERROR(FIND('112'!$M$9,G1012,1)),"",IF((AND(FIND('112'!$M$9,G1012,1)&gt;=1,B1012='112'!$K$9,OR($N1012='112'!$I$6,$O1012='112'!$I$6))),"x",""))</f>
        <v/>
      </c>
      <c r="U1012" s="85" t="str">
        <f>IF(ISERROR(FIND('112'!$M$9,G1012,1)),"",IF((AND(LEFT(G1012,2)=LEFT('112'!$M$9,2),B1012&lt;'112'!$K$9,$N1012='112'!$I$6)),"x",""))</f>
        <v/>
      </c>
      <c r="V1012" s="85" t="str">
        <f>IF(ISERROR(FIND('112'!$M$9,G1012,1)),"",IF((AND(RIGHT(G1012,2)=RIGHT('112'!$M$9,2),B1012&lt;'112'!$K$9,$O1012='112'!$I$6)),"x",""))</f>
        <v/>
      </c>
      <c r="W1012" s="85" t="str">
        <f>IF(AND('341-CT'!$H$9=H1012,OR(LEFT(N1012,3)=$W$7,LEFT(O1012,3)=$W$7)),"x","")</f>
        <v/>
      </c>
      <c r="X1012" s="85" t="str">
        <f>IF(OR(TH!N1012=TH!$X$7,O1012=TH!$X$7),"x","")</f>
        <v/>
      </c>
      <c r="Y1012" s="85" t="str">
        <f>IF(AND(OR(N1012="131",O1012="131"),H1012='131-CT'!$H$9),"x","")</f>
        <v/>
      </c>
      <c r="Z1012" s="85"/>
      <c r="AA1012" s="85" t="str">
        <f>IF(AND(MONTH(E1012)='IN-NX'!$J$5,'IN-NX'!$D$7=D1012),"x","")</f>
        <v/>
      </c>
      <c r="AB1012" s="85" t="str">
        <f>IF(AND(OR(LEFT(TH!N1012,2)="15",LEFT(TH!O1012,2)="15"),'152-CT'!$J$8=TH!F1012),"x","")</f>
        <v/>
      </c>
      <c r="AC1012" s="85" t="str">
        <f>IF(AND(OR(LEFT(TH!N1012,2)="15",LEFT(TH!O1012,2)="15"),TK!$E$7=TH!F1012),"x","")</f>
        <v/>
      </c>
      <c r="AD1012" s="85" t="str">
        <f>IF(AND(N1012="1521",MONTH(C1012)='BK-NL'!$M$11),"x","")</f>
        <v/>
      </c>
    </row>
    <row r="1013" spans="1:30" ht="15.75" customHeight="1">
      <c r="A1013" s="342" t="str">
        <f>IF(B1013&lt;&gt;"",IF(AND(B1013='IN-TC'!$S$4,OR(TH!N1013="1111",TH!O1013="1111")),TH!D1013,""),"")</f>
        <v/>
      </c>
      <c r="B1013" s="63">
        <f t="shared" ref="B1013:B1040" si="128">IF(C1013&lt;&gt;"",MONTH(C1013),"")</f>
        <v>5</v>
      </c>
      <c r="C1013" s="64">
        <f>E1013</f>
        <v>42501</v>
      </c>
      <c r="D1013" s="320" t="s">
        <v>705</v>
      </c>
      <c r="E1013" s="64">
        <v>42501</v>
      </c>
      <c r="F1013" s="67" t="s">
        <v>1205</v>
      </c>
      <c r="G1013" s="995" t="s">
        <v>929</v>
      </c>
      <c r="H1013" s="898" t="s">
        <v>1566</v>
      </c>
      <c r="I1013" s="446"/>
      <c r="J1013" s="446"/>
      <c r="K1013" s="437"/>
      <c r="L1013" s="446"/>
      <c r="M1013" s="65">
        <v>1417486081</v>
      </c>
      <c r="N1013" s="66" t="s">
        <v>26</v>
      </c>
      <c r="O1013" s="66" t="s">
        <v>87</v>
      </c>
      <c r="P1013" s="85" t="str">
        <f>IF(AND('331-CT'!$E$7=TH!H1013,OR(N1013="331",O1013="331")),"x","")</f>
        <v/>
      </c>
      <c r="Q1013" s="85" t="str">
        <f>IF(AND(B1013='111'!$L$11,OR($N1013=$Q$7,$O1013=$Q$7)),"x","")</f>
        <v/>
      </c>
      <c r="R1013" s="85" t="str">
        <f>IF(AND($N1013=$Q$7,$B1013&lt;'111'!$L$11),"x","")</f>
        <v/>
      </c>
      <c r="S1013" s="85" t="str">
        <f>IF(AND($O1013=$Q$7,$B1013&lt;'111'!$L$11),"x","")</f>
        <v/>
      </c>
      <c r="T1013" s="85" t="str">
        <f>IF(ISERROR(FIND('112'!$M$9,G1013,1)),"",IF((AND(FIND('112'!$M$9,G1013,1)&gt;=1,B1013='112'!$K$9,OR($N1013='112'!$I$6,$O1013='112'!$I$6))),"x",""))</f>
        <v/>
      </c>
      <c r="U1013" s="85" t="str">
        <f>IF(ISERROR(FIND('112'!$M$9,G1013,1)),"",IF((AND(LEFT(G1013,2)=LEFT('112'!$M$9,2),B1013&lt;'112'!$K$9,$N1013='112'!$I$6)),"x",""))</f>
        <v/>
      </c>
      <c r="V1013" s="85" t="str">
        <f>IF(ISERROR(FIND('112'!$M$9,G1013,1)),"",IF((AND(RIGHT(G1013,2)=RIGHT('112'!$M$9,2),B1013&lt;'112'!$K$9,$O1013='112'!$I$6)),"x",""))</f>
        <v/>
      </c>
      <c r="W1013" s="85" t="str">
        <f>IF(AND('341-CT'!$H$9=H1013,OR(LEFT(N1013,3)=$W$7,LEFT(O1013,3)=$W$7)),"x","")</f>
        <v/>
      </c>
      <c r="X1013" s="85" t="str">
        <f>IF(OR(TH!N1013=TH!$X$7,O1013=TH!$X$7),"x","")</f>
        <v/>
      </c>
      <c r="Y1013" s="85" t="str">
        <f>IF(AND(OR(N1013="131",O1013="131"),H1013='131-CT'!$H$9),"x","")</f>
        <v/>
      </c>
      <c r="Z1013" s="85"/>
      <c r="AA1013" s="85" t="str">
        <f>IF(AND(MONTH(E1013)='IN-NX'!$J$5,'IN-NX'!$D$7=D1013),"x","")</f>
        <v/>
      </c>
      <c r="AB1013" s="85" t="str">
        <f>IF(AND(OR(LEFT(TH!N1013,2)="15",LEFT(TH!O1013,2)="15"),'152-CT'!$J$8=TH!F1013),"x","")</f>
        <v/>
      </c>
      <c r="AC1013" s="85" t="str">
        <f>IF(AND(OR(LEFT(TH!N1013,2)="15",LEFT(TH!O1013,2)="15"),TK!$E$7=TH!F1013),"x","")</f>
        <v/>
      </c>
      <c r="AD1013" s="85" t="str">
        <f>IF(AND(N1013="1521",MONTH(C1013)='BK-NL'!$M$11),"x","")</f>
        <v/>
      </c>
    </row>
    <row r="1014" spans="1:30" ht="15.75" customHeight="1">
      <c r="A1014" s="342" t="str">
        <f>IF(B1014&lt;&gt;"",IF(AND(B1014='IN-TC'!$S$4,OR(TH!N1014="1111",TH!O1014="1111")),TH!D1014,""),"")</f>
        <v/>
      </c>
      <c r="B1014" s="63">
        <f t="shared" si="128"/>
        <v>5</v>
      </c>
      <c r="C1014" s="64">
        <f t="shared" ref="C1014" si="129">E1014</f>
        <v>42501</v>
      </c>
      <c r="D1014" s="64" t="s">
        <v>585</v>
      </c>
      <c r="E1014" s="64">
        <v>42501</v>
      </c>
      <c r="F1014" s="67" t="s">
        <v>617</v>
      </c>
      <c r="G1014" s="995" t="s">
        <v>929</v>
      </c>
      <c r="H1014" s="898" t="s">
        <v>1566</v>
      </c>
      <c r="I1014" s="446"/>
      <c r="J1014" s="446"/>
      <c r="K1014" s="437"/>
      <c r="L1014" s="446"/>
      <c r="M1014" s="65">
        <v>222600</v>
      </c>
      <c r="N1014" s="66" t="s">
        <v>101</v>
      </c>
      <c r="O1014" s="66" t="s">
        <v>87</v>
      </c>
      <c r="P1014" s="85" t="str">
        <f>IF(AND('331-CT'!$E$7=TH!H1014,OR(N1014="331",O1014="331")),"x","")</f>
        <v/>
      </c>
      <c r="Q1014" s="85" t="str">
        <f>IF(AND(B1014='111'!$L$11,OR($N1014=$Q$7,$O1014=$Q$7)),"x","")</f>
        <v/>
      </c>
      <c r="R1014" s="85" t="str">
        <f>IF(AND($N1014=$Q$7,$B1014&lt;'111'!$L$11),"x","")</f>
        <v/>
      </c>
      <c r="S1014" s="85" t="str">
        <f>IF(AND($O1014=$Q$7,$B1014&lt;'111'!$L$11),"x","")</f>
        <v/>
      </c>
      <c r="T1014" s="85" t="str">
        <f>IF(ISERROR(FIND('112'!$M$9,G1014,1)),"",IF((AND(FIND('112'!$M$9,G1014,1)&gt;=1,B1014='112'!$K$9,OR($N1014='112'!$I$6,$O1014='112'!$I$6))),"x",""))</f>
        <v/>
      </c>
      <c r="U1014" s="85" t="str">
        <f>IF(ISERROR(FIND('112'!$M$9,G1014,1)),"",IF((AND(LEFT(G1014,2)=LEFT('112'!$M$9,2),B1014&lt;'112'!$K$9,$N1014='112'!$I$6)),"x",""))</f>
        <v/>
      </c>
      <c r="V1014" s="85" t="str">
        <f>IF(ISERROR(FIND('112'!$M$9,G1014,1)),"",IF((AND(RIGHT(G1014,2)=RIGHT('112'!$M$9,2),B1014&lt;'112'!$K$9,$O1014='112'!$I$6)),"x",""))</f>
        <v/>
      </c>
      <c r="W1014" s="85" t="str">
        <f>IF(AND('341-CT'!$H$9=H1014,OR(LEFT(N1014,3)=$W$7,LEFT(O1014,3)=$W$7)),"x","")</f>
        <v/>
      </c>
      <c r="X1014" s="85" t="str">
        <f>IF(OR(TH!N1014=TH!$X$7,O1014=TH!$X$7),"x","")</f>
        <v/>
      </c>
      <c r="Y1014" s="85" t="str">
        <f>IF(AND(OR(N1014="131",O1014="131"),H1014='131-CT'!$H$9),"x","")</f>
        <v/>
      </c>
      <c r="Z1014" s="85"/>
      <c r="AA1014" s="85" t="str">
        <f>IF(AND(MONTH(E1014)='IN-NX'!$J$5,'IN-NX'!$D$7=D1014),"x","")</f>
        <v/>
      </c>
      <c r="AB1014" s="85" t="str">
        <f>IF(AND(OR(LEFT(TH!N1014,2)="15",LEFT(TH!O1014,2)="15"),'152-CT'!$J$8=TH!F1014),"x","")</f>
        <v/>
      </c>
      <c r="AC1014" s="85" t="str">
        <f>IF(AND(OR(LEFT(TH!N1014,2)="15",LEFT(TH!O1014,2)="15"),TK!$E$7=TH!F1014),"x","")</f>
        <v/>
      </c>
      <c r="AD1014" s="85" t="str">
        <f>IF(AND(N1014="1521",MONTH(C1014)='BK-NL'!$M$11),"x","")</f>
        <v/>
      </c>
    </row>
    <row r="1015" spans="1:30" ht="15.75" customHeight="1">
      <c r="A1015" s="342" t="str">
        <f>IF(B1015&lt;&gt;"",IF(AND(B1015='IN-TC'!$S$4,OR(TH!N1015="1111",TH!O1015="1111")),TH!D1015,""),"")</f>
        <v/>
      </c>
      <c r="B1015" s="63">
        <f t="shared" si="128"/>
        <v>5</v>
      </c>
      <c r="C1015" s="64">
        <f>E1015</f>
        <v>42501</v>
      </c>
      <c r="D1015" s="64" t="s">
        <v>585</v>
      </c>
      <c r="E1015" s="64">
        <v>42501</v>
      </c>
      <c r="F1015" s="67" t="s">
        <v>1208</v>
      </c>
      <c r="G1015" s="995" t="s">
        <v>929</v>
      </c>
      <c r="H1015" s="898" t="s">
        <v>1566</v>
      </c>
      <c r="I1015" s="446"/>
      <c r="J1015" s="446"/>
      <c r="K1015" s="437"/>
      <c r="L1015" s="446"/>
      <c r="M1015" s="65">
        <v>22260</v>
      </c>
      <c r="N1015" s="66" t="s">
        <v>9</v>
      </c>
      <c r="O1015" s="66" t="s">
        <v>87</v>
      </c>
      <c r="P1015" s="85" t="str">
        <f>IF(AND('331-CT'!$E$7=TH!H1015,OR(N1015="331",O1015="331")),"x","")</f>
        <v/>
      </c>
      <c r="Q1015" s="85" t="str">
        <f>IF(AND(B1015='111'!$L$11,OR($N1015=$Q$7,$O1015=$Q$7)),"x","")</f>
        <v/>
      </c>
      <c r="R1015" s="85" t="str">
        <f>IF(AND($N1015=$Q$7,$B1015&lt;'111'!$L$11),"x","")</f>
        <v/>
      </c>
      <c r="S1015" s="85" t="str">
        <f>IF(AND($O1015=$Q$7,$B1015&lt;'111'!$L$11),"x","")</f>
        <v/>
      </c>
      <c r="T1015" s="85" t="str">
        <f>IF(ISERROR(FIND('112'!$M$9,G1015,1)),"",IF((AND(FIND('112'!$M$9,G1015,1)&gt;=1,B1015='112'!$K$9,OR($N1015='112'!$I$6,$O1015='112'!$I$6))),"x",""))</f>
        <v/>
      </c>
      <c r="U1015" s="85" t="str">
        <f>IF(ISERROR(FIND('112'!$M$9,G1015,1)),"",IF((AND(LEFT(G1015,2)=LEFT('112'!$M$9,2),B1015&lt;'112'!$K$9,$N1015='112'!$I$6)),"x",""))</f>
        <v/>
      </c>
      <c r="V1015" s="85" t="str">
        <f>IF(ISERROR(FIND('112'!$M$9,G1015,1)),"",IF((AND(RIGHT(G1015,2)=RIGHT('112'!$M$9,2),B1015&lt;'112'!$K$9,$O1015='112'!$I$6)),"x",""))</f>
        <v/>
      </c>
      <c r="W1015" s="85" t="str">
        <f>IF(AND('341-CT'!$H$9=H1015,OR(LEFT(N1015,3)=$W$7,LEFT(O1015,3)=$W$7)),"x","")</f>
        <v/>
      </c>
      <c r="X1015" s="85" t="str">
        <f>IF(OR(TH!N1015=TH!$X$7,O1015=TH!$X$7),"x","")</f>
        <v/>
      </c>
      <c r="Y1015" s="85" t="str">
        <f>IF(AND(OR(N1015="131",O1015="131"),H1015='131-CT'!$H$9),"x","")</f>
        <v/>
      </c>
      <c r="Z1015" s="85"/>
      <c r="AA1015" s="85" t="str">
        <f>IF(AND(MONTH(E1015)='IN-NX'!$J$5,'IN-NX'!$D$7=D1015),"x","")</f>
        <v/>
      </c>
      <c r="AB1015" s="85" t="str">
        <f>IF(AND(OR(LEFT(TH!N1015,2)="15",LEFT(TH!O1015,2)="15"),'152-CT'!$J$8=TH!F1015),"x","")</f>
        <v/>
      </c>
      <c r="AC1015" s="85" t="str">
        <f>IF(AND(OR(LEFT(TH!N1015,2)="15",LEFT(TH!O1015,2)="15"),TK!$E$7=TH!F1015),"x","")</f>
        <v/>
      </c>
      <c r="AD1015" s="85" t="str">
        <f>IF(AND(N1015="1521",MONTH(C1015)='BK-NL'!$M$11),"x","")</f>
        <v/>
      </c>
    </row>
    <row r="1016" spans="1:30" ht="15.75" customHeight="1">
      <c r="A1016" s="342" t="str">
        <f>IF(B1016&lt;&gt;"",IF(AND(B1016='IN-TC'!$S$4,OR(TH!N1016="1111",TH!O1016="1111")),TH!D1016,""),"")</f>
        <v/>
      </c>
      <c r="B1016" s="63">
        <f t="shared" ref="B1016:B1017" si="130">IF(C1016&lt;&gt;"",MONTH(C1016),"")</f>
        <v>5</v>
      </c>
      <c r="C1016" s="64">
        <f t="shared" ref="C1016" si="131">E1016</f>
        <v>42501</v>
      </c>
      <c r="D1016" s="64" t="s">
        <v>585</v>
      </c>
      <c r="E1016" s="64">
        <v>42501</v>
      </c>
      <c r="F1016" s="67" t="s">
        <v>618</v>
      </c>
      <c r="G1016" s="995" t="s">
        <v>929</v>
      </c>
      <c r="H1016" s="898" t="s">
        <v>1566</v>
      </c>
      <c r="I1016" s="446"/>
      <c r="J1016" s="446"/>
      <c r="K1016" s="437"/>
      <c r="L1016" s="446"/>
      <c r="M1016" s="65">
        <v>614821</v>
      </c>
      <c r="N1016" s="66" t="s">
        <v>101</v>
      </c>
      <c r="O1016" s="66" t="s">
        <v>87</v>
      </c>
      <c r="P1016" s="85" t="str">
        <f>IF(AND('331-CT'!$E$7=TH!H1016,OR(N1016="331",O1016="331")),"x","")</f>
        <v/>
      </c>
      <c r="Q1016" s="85" t="str">
        <f>IF(AND(B1016='111'!$L$11,OR($N1016=$Q$7,$O1016=$Q$7)),"x","")</f>
        <v/>
      </c>
      <c r="R1016" s="85" t="str">
        <f>IF(AND($N1016=$Q$7,$B1016&lt;'111'!$L$11),"x","")</f>
        <v/>
      </c>
      <c r="S1016" s="85" t="str">
        <f>IF(AND($O1016=$Q$7,$B1016&lt;'111'!$L$11),"x","")</f>
        <v/>
      </c>
      <c r="T1016" s="85" t="str">
        <f>IF(ISERROR(FIND('112'!$M$9,G1016,1)),"",IF((AND(FIND('112'!$M$9,G1016,1)&gt;=1,B1016='112'!$K$9,OR($N1016='112'!$I$6,$O1016='112'!$I$6))),"x",""))</f>
        <v/>
      </c>
      <c r="U1016" s="85" t="str">
        <f>IF(ISERROR(FIND('112'!$M$9,G1016,1)),"",IF((AND(LEFT(G1016,2)=LEFT('112'!$M$9,2),B1016&lt;'112'!$K$9,$N1016='112'!$I$6)),"x",""))</f>
        <v/>
      </c>
      <c r="V1016" s="85" t="str">
        <f>IF(ISERROR(FIND('112'!$M$9,G1016,1)),"",IF((AND(RIGHT(G1016,2)=RIGHT('112'!$M$9,2),B1016&lt;'112'!$K$9,$O1016='112'!$I$6)),"x",""))</f>
        <v/>
      </c>
      <c r="W1016" s="85" t="str">
        <f>IF(AND('341-CT'!$H$9=H1016,OR(LEFT(N1016,3)=$W$7,LEFT(O1016,3)=$W$7)),"x","")</f>
        <v/>
      </c>
      <c r="X1016" s="85" t="str">
        <f>IF(OR(TH!N1016=TH!$X$7,O1016=TH!$X$7),"x","")</f>
        <v/>
      </c>
      <c r="Y1016" s="85" t="str">
        <f>IF(AND(OR(N1016="131",O1016="131"),H1016='131-CT'!$H$9),"x","")</f>
        <v/>
      </c>
      <c r="Z1016" s="85"/>
      <c r="AA1016" s="85" t="str">
        <f>IF(AND(MONTH(E1016)='IN-NX'!$J$5,'IN-NX'!$D$7=D1016),"x","")</f>
        <v/>
      </c>
      <c r="AB1016" s="85" t="str">
        <f>IF(AND(OR(LEFT(TH!N1016,2)="15",LEFT(TH!O1016,2)="15"),'152-CT'!$J$8=TH!F1016),"x","")</f>
        <v/>
      </c>
      <c r="AC1016" s="85" t="str">
        <f>IF(AND(OR(LEFT(TH!N1016,2)="15",LEFT(TH!O1016,2)="15"),TK!$E$7=TH!F1016),"x","")</f>
        <v/>
      </c>
      <c r="AD1016" s="85" t="str">
        <f>IF(AND(N1016="1521",MONTH(C1016)='BK-NL'!$M$11),"x","")</f>
        <v/>
      </c>
    </row>
    <row r="1017" spans="1:30" ht="15.75" customHeight="1">
      <c r="A1017" s="342" t="str">
        <f>IF(B1017&lt;&gt;"",IF(AND(B1017='IN-TC'!$S$4,OR(TH!N1017="1111",TH!O1017="1111")),TH!D1017,""),"")</f>
        <v/>
      </c>
      <c r="B1017" s="63">
        <f t="shared" si="130"/>
        <v>5</v>
      </c>
      <c r="C1017" s="64">
        <f>E1017</f>
        <v>42501</v>
      </c>
      <c r="D1017" s="64" t="s">
        <v>585</v>
      </c>
      <c r="E1017" s="64">
        <v>42501</v>
      </c>
      <c r="F1017" s="67" t="s">
        <v>1333</v>
      </c>
      <c r="G1017" s="995" t="s">
        <v>929</v>
      </c>
      <c r="H1017" s="898" t="s">
        <v>1566</v>
      </c>
      <c r="I1017" s="446"/>
      <c r="J1017" s="446"/>
      <c r="K1017" s="437"/>
      <c r="L1017" s="446"/>
      <c r="M1017" s="65">
        <v>61438</v>
      </c>
      <c r="N1017" s="66" t="s">
        <v>9</v>
      </c>
      <c r="O1017" s="66" t="s">
        <v>87</v>
      </c>
      <c r="P1017" s="85" t="str">
        <f>IF(AND('331-CT'!$E$7=TH!H1017,OR(N1017="331",O1017="331")),"x","")</f>
        <v/>
      </c>
      <c r="Q1017" s="85" t="str">
        <f>IF(AND(B1017='111'!$L$11,OR($N1017=$Q$7,$O1017=$Q$7)),"x","")</f>
        <v/>
      </c>
      <c r="R1017" s="85" t="str">
        <f>IF(AND($N1017=$Q$7,$B1017&lt;'111'!$L$11),"x","")</f>
        <v/>
      </c>
      <c r="S1017" s="85" t="str">
        <f>IF(AND($O1017=$Q$7,$B1017&lt;'111'!$L$11),"x","")</f>
        <v/>
      </c>
      <c r="T1017" s="85" t="str">
        <f>IF(ISERROR(FIND('112'!$M$9,G1017,1)),"",IF((AND(FIND('112'!$M$9,G1017,1)&gt;=1,B1017='112'!$K$9,OR($N1017='112'!$I$6,$O1017='112'!$I$6))),"x",""))</f>
        <v/>
      </c>
      <c r="U1017" s="85" t="str">
        <f>IF(ISERROR(FIND('112'!$M$9,G1017,1)),"",IF((AND(LEFT(G1017,2)=LEFT('112'!$M$9,2),B1017&lt;'112'!$K$9,$N1017='112'!$I$6)),"x",""))</f>
        <v/>
      </c>
      <c r="V1017" s="85" t="str">
        <f>IF(ISERROR(FIND('112'!$M$9,G1017,1)),"",IF((AND(RIGHT(G1017,2)=RIGHT('112'!$M$9,2),B1017&lt;'112'!$K$9,$O1017='112'!$I$6)),"x",""))</f>
        <v/>
      </c>
      <c r="W1017" s="85" t="str">
        <f>IF(AND('341-CT'!$H$9=H1017,OR(LEFT(N1017,3)=$W$7,LEFT(O1017,3)=$W$7)),"x","")</f>
        <v/>
      </c>
      <c r="X1017" s="85" t="str">
        <f>IF(OR(TH!N1017=TH!$X$7,O1017=TH!$X$7),"x","")</f>
        <v/>
      </c>
      <c r="Y1017" s="85" t="str">
        <f>IF(AND(OR(N1017="131",O1017="131"),H1017='131-CT'!$H$9),"x","")</f>
        <v/>
      </c>
      <c r="Z1017" s="85"/>
      <c r="AA1017" s="85" t="str">
        <f>IF(AND(MONTH(E1017)='IN-NX'!$J$5,'IN-NX'!$D$7=D1017),"x","")</f>
        <v/>
      </c>
      <c r="AB1017" s="85" t="str">
        <f>IF(AND(OR(LEFT(TH!N1017,2)="15",LEFT(TH!O1017,2)="15"),'152-CT'!$J$8=TH!F1017),"x","")</f>
        <v/>
      </c>
      <c r="AC1017" s="85" t="str">
        <f>IF(AND(OR(LEFT(TH!N1017,2)="15",LEFT(TH!O1017,2)="15"),TK!$E$7=TH!F1017),"x","")</f>
        <v/>
      </c>
      <c r="AD1017" s="85" t="str">
        <f>IF(AND(N1017="1521",MONTH(C1017)='BK-NL'!$M$11),"x","")</f>
        <v/>
      </c>
    </row>
    <row r="1018" spans="1:30" ht="15.75" customHeight="1">
      <c r="A1018" s="342" t="str">
        <f>IF(B1018&lt;&gt;"",IF(AND(B1018='IN-TC'!$S$4,OR(TH!N1018="1111",TH!O1018="1111")),TH!D1018,""),"")</f>
        <v/>
      </c>
      <c r="B1018" s="63">
        <f t="shared" si="128"/>
        <v>5</v>
      </c>
      <c r="C1018" s="64">
        <f>E1018</f>
        <v>42503</v>
      </c>
      <c r="D1018" s="320" t="s">
        <v>705</v>
      </c>
      <c r="E1018" s="64">
        <v>42503</v>
      </c>
      <c r="F1018" s="67" t="s">
        <v>1205</v>
      </c>
      <c r="G1018" s="995" t="s">
        <v>929</v>
      </c>
      <c r="H1018" s="898" t="s">
        <v>1567</v>
      </c>
      <c r="I1018" s="446"/>
      <c r="J1018" s="446"/>
      <c r="K1018" s="437"/>
      <c r="L1018" s="446"/>
      <c r="M1018" s="65">
        <v>836613245</v>
      </c>
      <c r="N1018" s="66" t="s">
        <v>26</v>
      </c>
      <c r="O1018" s="66" t="s">
        <v>87</v>
      </c>
      <c r="P1018" s="85" t="str">
        <f>IF(AND('331-CT'!$E$7=TH!H1018,OR(N1018="331",O1018="331")),"x","")</f>
        <v/>
      </c>
      <c r="Q1018" s="85" t="str">
        <f>IF(AND(B1018='111'!$L$11,OR($N1018=$Q$7,$O1018=$Q$7)),"x","")</f>
        <v/>
      </c>
      <c r="R1018" s="85" t="str">
        <f>IF(AND($N1018=$Q$7,$B1018&lt;'111'!$L$11),"x","")</f>
        <v/>
      </c>
      <c r="S1018" s="85" t="str">
        <f>IF(AND($O1018=$Q$7,$B1018&lt;'111'!$L$11),"x","")</f>
        <v/>
      </c>
      <c r="T1018" s="85" t="str">
        <f>IF(ISERROR(FIND('112'!$M$9,G1018,1)),"",IF((AND(FIND('112'!$M$9,G1018,1)&gt;=1,B1018='112'!$K$9,OR($N1018='112'!$I$6,$O1018='112'!$I$6))),"x",""))</f>
        <v/>
      </c>
      <c r="U1018" s="85" t="str">
        <f>IF(ISERROR(FIND('112'!$M$9,G1018,1)),"",IF((AND(LEFT(G1018,2)=LEFT('112'!$M$9,2),B1018&lt;'112'!$K$9,$N1018='112'!$I$6)),"x",""))</f>
        <v/>
      </c>
      <c r="V1018" s="85" t="str">
        <f>IF(ISERROR(FIND('112'!$M$9,G1018,1)),"",IF((AND(RIGHT(G1018,2)=RIGHT('112'!$M$9,2),B1018&lt;'112'!$K$9,$O1018='112'!$I$6)),"x",""))</f>
        <v/>
      </c>
      <c r="W1018" s="85" t="str">
        <f>IF(AND('341-CT'!$H$9=H1018,OR(LEFT(N1018,3)=$W$7,LEFT(O1018,3)=$W$7)),"x","")</f>
        <v>x</v>
      </c>
      <c r="X1018" s="85" t="str">
        <f>IF(OR(TH!N1018=TH!$X$7,O1018=TH!$X$7),"x","")</f>
        <v/>
      </c>
      <c r="Y1018" s="85" t="str">
        <f>IF(AND(OR(N1018="131",O1018="131"),H1018='131-CT'!$H$9),"x","")</f>
        <v/>
      </c>
      <c r="Z1018" s="85"/>
      <c r="AA1018" s="85" t="str">
        <f>IF(AND(MONTH(E1018)='IN-NX'!$J$5,'IN-NX'!$D$7=D1018),"x","")</f>
        <v/>
      </c>
      <c r="AB1018" s="85" t="str">
        <f>IF(AND(OR(LEFT(TH!N1018,2)="15",LEFT(TH!O1018,2)="15"),'152-CT'!$J$8=TH!F1018),"x","")</f>
        <v/>
      </c>
      <c r="AC1018" s="85" t="str">
        <f>IF(AND(OR(LEFT(TH!N1018,2)="15",LEFT(TH!O1018,2)="15"),TK!$E$7=TH!F1018),"x","")</f>
        <v/>
      </c>
      <c r="AD1018" s="85" t="str">
        <f>IF(AND(N1018="1521",MONTH(C1018)='BK-NL'!$M$11),"x","")</f>
        <v/>
      </c>
    </row>
    <row r="1019" spans="1:30" ht="15.75" customHeight="1">
      <c r="A1019" s="342" t="str">
        <f>IF(B1019&lt;&gt;"",IF(AND(B1019='IN-TC'!$S$4,OR(TH!N1019="1111",TH!O1019="1111")),TH!D1019,""),"")</f>
        <v/>
      </c>
      <c r="B1019" s="63">
        <f t="shared" ref="B1019:B1022" si="132">IF(C1019&lt;&gt;"",MONTH(C1019),"")</f>
        <v>5</v>
      </c>
      <c r="C1019" s="64">
        <f t="shared" ref="C1019" si="133">E1019</f>
        <v>42503</v>
      </c>
      <c r="D1019" s="64" t="s">
        <v>585</v>
      </c>
      <c r="E1019" s="64">
        <v>42503</v>
      </c>
      <c r="F1019" s="67" t="s">
        <v>617</v>
      </c>
      <c r="G1019" s="995" t="s">
        <v>929</v>
      </c>
      <c r="H1019" s="898" t="s">
        <v>1567</v>
      </c>
      <c r="I1019" s="446"/>
      <c r="J1019" s="446"/>
      <c r="K1019" s="437"/>
      <c r="L1019" s="446"/>
      <c r="M1019" s="65">
        <v>222900</v>
      </c>
      <c r="N1019" s="66" t="s">
        <v>101</v>
      </c>
      <c r="O1019" s="66" t="s">
        <v>87</v>
      </c>
      <c r="P1019" s="85" t="str">
        <f>IF(AND('331-CT'!$E$7=TH!H1019,OR(N1019="331",O1019="331")),"x","")</f>
        <v/>
      </c>
      <c r="Q1019" s="85" t="str">
        <f>IF(AND(B1019='111'!$L$11,OR($N1019=$Q$7,$O1019=$Q$7)),"x","")</f>
        <v/>
      </c>
      <c r="R1019" s="85" t="str">
        <f>IF(AND($N1019=$Q$7,$B1019&lt;'111'!$L$11),"x","")</f>
        <v/>
      </c>
      <c r="S1019" s="85" t="str">
        <f>IF(AND($O1019=$Q$7,$B1019&lt;'111'!$L$11),"x","")</f>
        <v/>
      </c>
      <c r="T1019" s="85" t="str">
        <f>IF(ISERROR(FIND('112'!$M$9,G1019,1)),"",IF((AND(FIND('112'!$M$9,G1019,1)&gt;=1,B1019='112'!$K$9,OR($N1019='112'!$I$6,$O1019='112'!$I$6))),"x",""))</f>
        <v/>
      </c>
      <c r="U1019" s="85" t="str">
        <f>IF(ISERROR(FIND('112'!$M$9,G1019,1)),"",IF((AND(LEFT(G1019,2)=LEFT('112'!$M$9,2),B1019&lt;'112'!$K$9,$N1019='112'!$I$6)),"x",""))</f>
        <v/>
      </c>
      <c r="V1019" s="85" t="str">
        <f>IF(ISERROR(FIND('112'!$M$9,G1019,1)),"",IF((AND(RIGHT(G1019,2)=RIGHT('112'!$M$9,2),B1019&lt;'112'!$K$9,$O1019='112'!$I$6)),"x",""))</f>
        <v/>
      </c>
      <c r="W1019" s="85" t="str">
        <f>IF(AND('341-CT'!$H$9=H1019,OR(LEFT(N1019,3)=$W$7,LEFT(O1019,3)=$W$7)),"x","")</f>
        <v>x</v>
      </c>
      <c r="X1019" s="85" t="str">
        <f>IF(OR(TH!N1019=TH!$X$7,O1019=TH!$X$7),"x","")</f>
        <v/>
      </c>
      <c r="Y1019" s="85" t="str">
        <f>IF(AND(OR(N1019="131",O1019="131"),H1019='131-CT'!$H$9),"x","")</f>
        <v/>
      </c>
      <c r="Z1019" s="85"/>
      <c r="AA1019" s="85" t="str">
        <f>IF(AND(MONTH(E1019)='IN-NX'!$J$5,'IN-NX'!$D$7=D1019),"x","")</f>
        <v/>
      </c>
      <c r="AB1019" s="85" t="str">
        <f>IF(AND(OR(LEFT(TH!N1019,2)="15",LEFT(TH!O1019,2)="15"),'152-CT'!$J$8=TH!F1019),"x","")</f>
        <v/>
      </c>
      <c r="AC1019" s="85" t="str">
        <f>IF(AND(OR(LEFT(TH!N1019,2)="15",LEFT(TH!O1019,2)="15"),TK!$E$7=TH!F1019),"x","")</f>
        <v/>
      </c>
      <c r="AD1019" s="85" t="str">
        <f>IF(AND(N1019="1521",MONTH(C1019)='BK-NL'!$M$11),"x","")</f>
        <v/>
      </c>
    </row>
    <row r="1020" spans="1:30" ht="15.75" customHeight="1">
      <c r="A1020" s="342" t="str">
        <f>IF(B1020&lt;&gt;"",IF(AND(B1020='IN-TC'!$S$4,OR(TH!N1020="1111",TH!O1020="1111")),TH!D1020,""),"")</f>
        <v/>
      </c>
      <c r="B1020" s="63">
        <f t="shared" si="132"/>
        <v>5</v>
      </c>
      <c r="C1020" s="64">
        <f>E1020</f>
        <v>42503</v>
      </c>
      <c r="D1020" s="64" t="s">
        <v>585</v>
      </c>
      <c r="E1020" s="64">
        <v>42503</v>
      </c>
      <c r="F1020" s="67" t="s">
        <v>1208</v>
      </c>
      <c r="G1020" s="995" t="s">
        <v>929</v>
      </c>
      <c r="H1020" s="898" t="s">
        <v>1567</v>
      </c>
      <c r="I1020" s="446"/>
      <c r="J1020" s="446"/>
      <c r="K1020" s="437"/>
      <c r="L1020" s="446"/>
      <c r="M1020" s="65">
        <v>22290</v>
      </c>
      <c r="N1020" s="66" t="s">
        <v>9</v>
      </c>
      <c r="O1020" s="66" t="s">
        <v>87</v>
      </c>
      <c r="P1020" s="85" t="str">
        <f>IF(AND('331-CT'!$E$7=TH!H1020,OR(N1020="331",O1020="331")),"x","")</f>
        <v/>
      </c>
      <c r="Q1020" s="85" t="str">
        <f>IF(AND(B1020='111'!$L$11,OR($N1020=$Q$7,$O1020=$Q$7)),"x","")</f>
        <v/>
      </c>
      <c r="R1020" s="85" t="str">
        <f>IF(AND($N1020=$Q$7,$B1020&lt;'111'!$L$11),"x","")</f>
        <v/>
      </c>
      <c r="S1020" s="85" t="str">
        <f>IF(AND($O1020=$Q$7,$B1020&lt;'111'!$L$11),"x","")</f>
        <v/>
      </c>
      <c r="T1020" s="85" t="str">
        <f>IF(ISERROR(FIND('112'!$M$9,G1020,1)),"",IF((AND(FIND('112'!$M$9,G1020,1)&gt;=1,B1020='112'!$K$9,OR($N1020='112'!$I$6,$O1020='112'!$I$6))),"x",""))</f>
        <v/>
      </c>
      <c r="U1020" s="85" t="str">
        <f>IF(ISERROR(FIND('112'!$M$9,G1020,1)),"",IF((AND(LEFT(G1020,2)=LEFT('112'!$M$9,2),B1020&lt;'112'!$K$9,$N1020='112'!$I$6)),"x",""))</f>
        <v/>
      </c>
      <c r="V1020" s="85" t="str">
        <f>IF(ISERROR(FIND('112'!$M$9,G1020,1)),"",IF((AND(RIGHT(G1020,2)=RIGHT('112'!$M$9,2),B1020&lt;'112'!$K$9,$O1020='112'!$I$6)),"x",""))</f>
        <v/>
      </c>
      <c r="W1020" s="85" t="str">
        <f>IF(AND('341-CT'!$H$9=H1020,OR(LEFT(N1020,3)=$W$7,LEFT(O1020,3)=$W$7)),"x","")</f>
        <v>x</v>
      </c>
      <c r="X1020" s="85" t="str">
        <f>IF(OR(TH!N1020=TH!$X$7,O1020=TH!$X$7),"x","")</f>
        <v/>
      </c>
      <c r="Y1020" s="85" t="str">
        <f>IF(AND(OR(N1020="131",O1020="131"),H1020='131-CT'!$H$9),"x","")</f>
        <v/>
      </c>
      <c r="Z1020" s="85"/>
      <c r="AA1020" s="85" t="str">
        <f>IF(AND(MONTH(E1020)='IN-NX'!$J$5,'IN-NX'!$D$7=D1020),"x","")</f>
        <v/>
      </c>
      <c r="AB1020" s="85" t="str">
        <f>IF(AND(OR(LEFT(TH!N1020,2)="15",LEFT(TH!O1020,2)="15"),'152-CT'!$J$8=TH!F1020),"x","")</f>
        <v/>
      </c>
      <c r="AC1020" s="85" t="str">
        <f>IF(AND(OR(LEFT(TH!N1020,2)="15",LEFT(TH!O1020,2)="15"),TK!$E$7=TH!F1020),"x","")</f>
        <v/>
      </c>
      <c r="AD1020" s="85" t="str">
        <f>IF(AND(N1020="1521",MONTH(C1020)='BK-NL'!$M$11),"x","")</f>
        <v/>
      </c>
    </row>
    <row r="1021" spans="1:30" ht="15.75" customHeight="1">
      <c r="A1021" s="342" t="str">
        <f>IF(B1021&lt;&gt;"",IF(AND(B1021='IN-TC'!$S$4,OR(TH!N1021="1111",TH!O1021="1111")),TH!D1021,""),"")</f>
        <v/>
      </c>
      <c r="B1021" s="63">
        <f t="shared" si="132"/>
        <v>5</v>
      </c>
      <c r="C1021" s="64">
        <f t="shared" ref="C1021" si="134">E1021</f>
        <v>42503</v>
      </c>
      <c r="D1021" s="64" t="s">
        <v>585</v>
      </c>
      <c r="E1021" s="64">
        <v>42503</v>
      </c>
      <c r="F1021" s="67" t="s">
        <v>618</v>
      </c>
      <c r="G1021" s="995" t="s">
        <v>929</v>
      </c>
      <c r="H1021" s="898" t="s">
        <v>1567</v>
      </c>
      <c r="I1021" s="446"/>
      <c r="J1021" s="446"/>
      <c r="K1021" s="437"/>
      <c r="L1021" s="446"/>
      <c r="M1021" s="65">
        <v>615650</v>
      </c>
      <c r="N1021" s="66" t="s">
        <v>101</v>
      </c>
      <c r="O1021" s="66" t="s">
        <v>87</v>
      </c>
      <c r="P1021" s="85" t="str">
        <f>IF(AND('331-CT'!$E$7=TH!H1021,OR(N1021="331",O1021="331")),"x","")</f>
        <v/>
      </c>
      <c r="Q1021" s="85" t="str">
        <f>IF(AND(B1021='111'!$L$11,OR($N1021=$Q$7,$O1021=$Q$7)),"x","")</f>
        <v/>
      </c>
      <c r="R1021" s="85" t="str">
        <f>IF(AND($N1021=$Q$7,$B1021&lt;'111'!$L$11),"x","")</f>
        <v/>
      </c>
      <c r="S1021" s="85" t="str">
        <f>IF(AND($O1021=$Q$7,$B1021&lt;'111'!$L$11),"x","")</f>
        <v/>
      </c>
      <c r="T1021" s="85" t="str">
        <f>IF(ISERROR(FIND('112'!$M$9,G1021,1)),"",IF((AND(FIND('112'!$M$9,G1021,1)&gt;=1,B1021='112'!$K$9,OR($N1021='112'!$I$6,$O1021='112'!$I$6))),"x",""))</f>
        <v/>
      </c>
      <c r="U1021" s="85" t="str">
        <f>IF(ISERROR(FIND('112'!$M$9,G1021,1)),"",IF((AND(LEFT(G1021,2)=LEFT('112'!$M$9,2),B1021&lt;'112'!$K$9,$N1021='112'!$I$6)),"x",""))</f>
        <v/>
      </c>
      <c r="V1021" s="85" t="str">
        <f>IF(ISERROR(FIND('112'!$M$9,G1021,1)),"",IF((AND(RIGHT(G1021,2)=RIGHT('112'!$M$9,2),B1021&lt;'112'!$K$9,$O1021='112'!$I$6)),"x",""))</f>
        <v/>
      </c>
      <c r="W1021" s="85" t="str">
        <f>IF(AND('341-CT'!$H$9=H1021,OR(LEFT(N1021,3)=$W$7,LEFT(O1021,3)=$W$7)),"x","")</f>
        <v>x</v>
      </c>
      <c r="X1021" s="85" t="str">
        <f>IF(OR(TH!N1021=TH!$X$7,O1021=TH!$X$7),"x","")</f>
        <v/>
      </c>
      <c r="Y1021" s="85" t="str">
        <f>IF(AND(OR(N1021="131",O1021="131"),H1021='131-CT'!$H$9),"x","")</f>
        <v/>
      </c>
      <c r="Z1021" s="85"/>
      <c r="AA1021" s="85" t="str">
        <f>IF(AND(MONTH(E1021)='IN-NX'!$J$5,'IN-NX'!$D$7=D1021),"x","")</f>
        <v/>
      </c>
      <c r="AB1021" s="85" t="str">
        <f>IF(AND(OR(LEFT(TH!N1021,2)="15",LEFT(TH!O1021,2)="15"),'152-CT'!$J$8=TH!F1021),"x","")</f>
        <v/>
      </c>
      <c r="AC1021" s="85" t="str">
        <f>IF(AND(OR(LEFT(TH!N1021,2)="15",LEFT(TH!O1021,2)="15"),TK!$E$7=TH!F1021),"x","")</f>
        <v/>
      </c>
      <c r="AD1021" s="85" t="str">
        <f>IF(AND(N1021="1521",MONTH(C1021)='BK-NL'!$M$11),"x","")</f>
        <v/>
      </c>
    </row>
    <row r="1022" spans="1:30" ht="15.75" customHeight="1">
      <c r="A1022" s="342" t="str">
        <f>IF(B1022&lt;&gt;"",IF(AND(B1022='IN-TC'!$S$4,OR(TH!N1022="1111",TH!O1022="1111")),TH!D1022,""),"")</f>
        <v/>
      </c>
      <c r="B1022" s="63">
        <f t="shared" si="132"/>
        <v>5</v>
      </c>
      <c r="C1022" s="64">
        <f>E1022</f>
        <v>42503</v>
      </c>
      <c r="D1022" s="64" t="s">
        <v>585</v>
      </c>
      <c r="E1022" s="64">
        <v>42503</v>
      </c>
      <c r="F1022" s="67" t="s">
        <v>1333</v>
      </c>
      <c r="G1022" s="995" t="s">
        <v>929</v>
      </c>
      <c r="H1022" s="898" t="s">
        <v>1567</v>
      </c>
      <c r="I1022" s="446"/>
      <c r="J1022" s="446"/>
      <c r="K1022" s="437"/>
      <c r="L1022" s="446"/>
      <c r="M1022" s="65">
        <v>61520</v>
      </c>
      <c r="N1022" s="66" t="s">
        <v>9</v>
      </c>
      <c r="O1022" s="66" t="s">
        <v>87</v>
      </c>
      <c r="P1022" s="85" t="str">
        <f>IF(AND('331-CT'!$E$7=TH!H1022,OR(N1022="331",O1022="331")),"x","")</f>
        <v/>
      </c>
      <c r="Q1022" s="85" t="str">
        <f>IF(AND(B1022='111'!$L$11,OR($N1022=$Q$7,$O1022=$Q$7)),"x","")</f>
        <v/>
      </c>
      <c r="R1022" s="85" t="str">
        <f>IF(AND($N1022=$Q$7,$B1022&lt;'111'!$L$11),"x","")</f>
        <v/>
      </c>
      <c r="S1022" s="85" t="str">
        <f>IF(AND($O1022=$Q$7,$B1022&lt;'111'!$L$11),"x","")</f>
        <v/>
      </c>
      <c r="T1022" s="85" t="str">
        <f>IF(ISERROR(FIND('112'!$M$9,G1022,1)),"",IF((AND(FIND('112'!$M$9,G1022,1)&gt;=1,B1022='112'!$K$9,OR($N1022='112'!$I$6,$O1022='112'!$I$6))),"x",""))</f>
        <v/>
      </c>
      <c r="U1022" s="85" t="str">
        <f>IF(ISERROR(FIND('112'!$M$9,G1022,1)),"",IF((AND(LEFT(G1022,2)=LEFT('112'!$M$9,2),B1022&lt;'112'!$K$9,$N1022='112'!$I$6)),"x",""))</f>
        <v/>
      </c>
      <c r="V1022" s="85" t="str">
        <f>IF(ISERROR(FIND('112'!$M$9,G1022,1)),"",IF((AND(RIGHT(G1022,2)=RIGHT('112'!$M$9,2),B1022&lt;'112'!$K$9,$O1022='112'!$I$6)),"x",""))</f>
        <v/>
      </c>
      <c r="W1022" s="85" t="str">
        <f>IF(AND('341-CT'!$H$9=H1022,OR(LEFT(N1022,3)=$W$7,LEFT(O1022,3)=$W$7)),"x","")</f>
        <v>x</v>
      </c>
      <c r="X1022" s="85" t="str">
        <f>IF(OR(TH!N1022=TH!$X$7,O1022=TH!$X$7),"x","")</f>
        <v/>
      </c>
      <c r="Y1022" s="85" t="str">
        <f>IF(AND(OR(N1022="131",O1022="131"),H1022='131-CT'!$H$9),"x","")</f>
        <v/>
      </c>
      <c r="Z1022" s="85"/>
      <c r="AA1022" s="85" t="str">
        <f>IF(AND(MONTH(E1022)='IN-NX'!$J$5,'IN-NX'!$D$7=D1022),"x","")</f>
        <v/>
      </c>
      <c r="AB1022" s="85" t="str">
        <f>IF(AND(OR(LEFT(TH!N1022,2)="15",LEFT(TH!O1022,2)="15"),'152-CT'!$J$8=TH!F1022),"x","")</f>
        <v/>
      </c>
      <c r="AC1022" s="85" t="str">
        <f>IF(AND(OR(LEFT(TH!N1022,2)="15",LEFT(TH!O1022,2)="15"),TK!$E$7=TH!F1022),"x","")</f>
        <v/>
      </c>
      <c r="AD1022" s="85" t="str">
        <f>IF(AND(N1022="1521",MONTH(C1022)='BK-NL'!$M$11),"x","")</f>
        <v/>
      </c>
    </row>
    <row r="1023" spans="1:30" ht="15.75" customHeight="1">
      <c r="A1023" s="342" t="str">
        <f>IF(B1023&lt;&gt;"",IF(AND(B1023='IN-TC'!$S$4,OR(TH!N1023="1111",TH!O1023="1111")),TH!D1023,""),"")</f>
        <v/>
      </c>
      <c r="B1023" s="63">
        <f t="shared" ref="B1023:B1024" si="135">IF(C1023&lt;&gt;"",MONTH(C1023),"")</f>
        <v>5</v>
      </c>
      <c r="C1023" s="64">
        <f t="shared" ref="C1023" si="136">E1023</f>
        <v>42503</v>
      </c>
      <c r="D1023" s="64" t="s">
        <v>585</v>
      </c>
      <c r="E1023" s="64">
        <v>42503</v>
      </c>
      <c r="F1023" s="67" t="s">
        <v>619</v>
      </c>
      <c r="G1023" s="995" t="s">
        <v>929</v>
      </c>
      <c r="H1023" s="898" t="s">
        <v>1567</v>
      </c>
      <c r="I1023" s="446"/>
      <c r="J1023" s="446"/>
      <c r="K1023" s="437"/>
      <c r="L1023" s="446"/>
      <c r="M1023" s="65">
        <v>111450</v>
      </c>
      <c r="N1023" s="66" t="s">
        <v>101</v>
      </c>
      <c r="O1023" s="66" t="s">
        <v>87</v>
      </c>
      <c r="P1023" s="85" t="str">
        <f>IF(AND('331-CT'!$E$7=TH!H1023,OR(N1023="331",O1023="331")),"x","")</f>
        <v/>
      </c>
      <c r="Q1023" s="85" t="str">
        <f>IF(AND(B1023='111'!$L$11,OR($N1023=$Q$7,$O1023=$Q$7)),"x","")</f>
        <v/>
      </c>
      <c r="R1023" s="85" t="str">
        <f>IF(AND($N1023=$Q$7,$B1023&lt;'111'!$L$11),"x","")</f>
        <v/>
      </c>
      <c r="S1023" s="85" t="str">
        <f>IF(AND($O1023=$Q$7,$B1023&lt;'111'!$L$11),"x","")</f>
        <v/>
      </c>
      <c r="T1023" s="85" t="str">
        <f>IF(ISERROR(FIND('112'!$M$9,G1023,1)),"",IF((AND(FIND('112'!$M$9,G1023,1)&gt;=1,B1023='112'!$K$9,OR($N1023='112'!$I$6,$O1023='112'!$I$6))),"x",""))</f>
        <v/>
      </c>
      <c r="U1023" s="85" t="str">
        <f>IF(ISERROR(FIND('112'!$M$9,G1023,1)),"",IF((AND(LEFT(G1023,2)=LEFT('112'!$M$9,2),B1023&lt;'112'!$K$9,$N1023='112'!$I$6)),"x",""))</f>
        <v/>
      </c>
      <c r="V1023" s="85" t="str">
        <f>IF(ISERROR(FIND('112'!$M$9,G1023,1)),"",IF((AND(RIGHT(G1023,2)=RIGHT('112'!$M$9,2),B1023&lt;'112'!$K$9,$O1023='112'!$I$6)),"x",""))</f>
        <v/>
      </c>
      <c r="W1023" s="85" t="str">
        <f>IF(AND('341-CT'!$H$9=H1023,OR(LEFT(N1023,3)=$W$7,LEFT(O1023,3)=$W$7)),"x","")</f>
        <v>x</v>
      </c>
      <c r="X1023" s="85" t="str">
        <f>IF(OR(TH!N1023=TH!$X$7,O1023=TH!$X$7),"x","")</f>
        <v/>
      </c>
      <c r="Y1023" s="85" t="str">
        <f>IF(AND(OR(N1023="131",O1023="131"),H1023='131-CT'!$H$9),"x","")</f>
        <v/>
      </c>
      <c r="Z1023" s="85"/>
      <c r="AA1023" s="85" t="str">
        <f>IF(AND(MONTH(E1023)='IN-NX'!$J$5,'IN-NX'!$D$7=D1023),"x","")</f>
        <v/>
      </c>
      <c r="AB1023" s="85" t="str">
        <f>IF(AND(OR(LEFT(TH!N1023,2)="15",LEFT(TH!O1023,2)="15"),'152-CT'!$J$8=TH!F1023),"x","")</f>
        <v/>
      </c>
      <c r="AC1023" s="85" t="str">
        <f>IF(AND(OR(LEFT(TH!N1023,2)="15",LEFT(TH!O1023,2)="15"),TK!$E$7=TH!F1023),"x","")</f>
        <v/>
      </c>
      <c r="AD1023" s="85" t="str">
        <f>IF(AND(N1023="1521",MONTH(C1023)='BK-NL'!$M$11),"x","")</f>
        <v/>
      </c>
    </row>
    <row r="1024" spans="1:30" ht="15.75" customHeight="1">
      <c r="A1024" s="342" t="str">
        <f>IF(B1024&lt;&gt;"",IF(AND(B1024='IN-TC'!$S$4,OR(TH!N1024="1111",TH!O1024="1111")),TH!D1024,""),"")</f>
        <v/>
      </c>
      <c r="B1024" s="63">
        <f t="shared" si="135"/>
        <v>5</v>
      </c>
      <c r="C1024" s="64">
        <f t="shared" ref="C1024:C1030" si="137">E1024</f>
        <v>42503</v>
      </c>
      <c r="D1024" s="64" t="s">
        <v>585</v>
      </c>
      <c r="E1024" s="64">
        <v>42503</v>
      </c>
      <c r="F1024" s="67" t="s">
        <v>1213</v>
      </c>
      <c r="G1024" s="995" t="s">
        <v>929</v>
      </c>
      <c r="H1024" s="898" t="s">
        <v>1567</v>
      </c>
      <c r="I1024" s="446"/>
      <c r="J1024" s="446"/>
      <c r="K1024" s="437"/>
      <c r="L1024" s="446"/>
      <c r="M1024" s="65">
        <v>11145</v>
      </c>
      <c r="N1024" s="66" t="s">
        <v>9</v>
      </c>
      <c r="O1024" s="66" t="s">
        <v>87</v>
      </c>
      <c r="P1024" s="85" t="str">
        <f>IF(AND('331-CT'!$E$7=TH!H1024,OR(N1024="331",O1024="331")),"x","")</f>
        <v/>
      </c>
      <c r="Q1024" s="85" t="str">
        <f>IF(AND(B1024='111'!$L$11,OR($N1024=$Q$7,$O1024=$Q$7)),"x","")</f>
        <v/>
      </c>
      <c r="R1024" s="85" t="str">
        <f>IF(AND($N1024=$Q$7,$B1024&lt;'111'!$L$11),"x","")</f>
        <v/>
      </c>
      <c r="S1024" s="85" t="str">
        <f>IF(AND($O1024=$Q$7,$B1024&lt;'111'!$L$11),"x","")</f>
        <v/>
      </c>
      <c r="T1024" s="85" t="str">
        <f>IF(ISERROR(FIND('112'!$M$9,G1024,1)),"",IF((AND(FIND('112'!$M$9,G1024,1)&gt;=1,B1024='112'!$K$9,OR($N1024='112'!$I$6,$O1024='112'!$I$6))),"x",""))</f>
        <v/>
      </c>
      <c r="U1024" s="85" t="str">
        <f>IF(ISERROR(FIND('112'!$M$9,G1024,1)),"",IF((AND(LEFT(G1024,2)=LEFT('112'!$M$9,2),B1024&lt;'112'!$K$9,$N1024='112'!$I$6)),"x",""))</f>
        <v/>
      </c>
      <c r="V1024" s="85" t="str">
        <f>IF(ISERROR(FIND('112'!$M$9,G1024,1)),"",IF((AND(RIGHT(G1024,2)=RIGHT('112'!$M$9,2),B1024&lt;'112'!$K$9,$O1024='112'!$I$6)),"x",""))</f>
        <v/>
      </c>
      <c r="W1024" s="85" t="str">
        <f>IF(AND('341-CT'!$H$9=H1024,OR(LEFT(N1024,3)=$W$7,LEFT(O1024,3)=$W$7)),"x","")</f>
        <v>x</v>
      </c>
      <c r="X1024" s="85" t="str">
        <f>IF(OR(TH!N1024=TH!$X$7,O1024=TH!$X$7),"x","")</f>
        <v/>
      </c>
      <c r="Y1024" s="85" t="str">
        <f>IF(AND(OR(N1024="131",O1024="131"),H1024='131-CT'!$H$9),"x","")</f>
        <v/>
      </c>
      <c r="Z1024" s="85"/>
      <c r="AA1024" s="85" t="str">
        <f>IF(AND(MONTH(E1024)='IN-NX'!$J$5,'IN-NX'!$D$7=D1024),"x","")</f>
        <v/>
      </c>
      <c r="AB1024" s="85" t="str">
        <f>IF(AND(OR(LEFT(TH!N1024,2)="15",LEFT(TH!O1024,2)="15"),'152-CT'!$J$8=TH!F1024),"x","")</f>
        <v/>
      </c>
      <c r="AC1024" s="85" t="str">
        <f>IF(AND(OR(LEFT(TH!N1024,2)="15",LEFT(TH!O1024,2)="15"),TK!$E$7=TH!F1024),"x","")</f>
        <v/>
      </c>
      <c r="AD1024" s="85" t="str">
        <f>IF(AND(N1024="1521",MONTH(C1024)='BK-NL'!$M$11),"x","")</f>
        <v/>
      </c>
    </row>
    <row r="1025" spans="1:30" ht="15.75" customHeight="1">
      <c r="A1025" s="342" t="str">
        <f>IF(B1025&lt;&gt;"",IF(AND(B1025='IN-TC'!$S$4,OR(TH!N1025="1111",TH!O1025="1111")),TH!D1025,""),"")</f>
        <v/>
      </c>
      <c r="B1025" s="63">
        <f t="shared" si="128"/>
        <v>5</v>
      </c>
      <c r="C1025" s="64">
        <f t="shared" si="137"/>
        <v>42514</v>
      </c>
      <c r="D1025" s="320" t="s">
        <v>705</v>
      </c>
      <c r="E1025" s="64">
        <v>42514</v>
      </c>
      <c r="F1025" s="67" t="s">
        <v>1568</v>
      </c>
      <c r="G1025" s="995" t="s">
        <v>929</v>
      </c>
      <c r="H1025" s="74"/>
      <c r="I1025" s="446"/>
      <c r="J1025" s="446"/>
      <c r="K1025" s="437"/>
      <c r="L1025" s="446"/>
      <c r="M1025" s="65">
        <v>23165</v>
      </c>
      <c r="N1025" s="66" t="s">
        <v>26</v>
      </c>
      <c r="O1025" s="66" t="s">
        <v>43</v>
      </c>
      <c r="P1025" s="85" t="str">
        <f>IF(AND('331-CT'!$E$7=TH!H1025,OR(N1025="331",O1025="331")),"x","")</f>
        <v/>
      </c>
      <c r="Q1025" s="85" t="str">
        <f>IF(AND(B1025='111'!$L$11,OR($N1025=$Q$7,$O1025=$Q$7)),"x","")</f>
        <v/>
      </c>
      <c r="R1025" s="85" t="str">
        <f>IF(AND($N1025=$Q$7,$B1025&lt;'111'!$L$11),"x","")</f>
        <v/>
      </c>
      <c r="S1025" s="85" t="str">
        <f>IF(AND($O1025=$Q$7,$B1025&lt;'111'!$L$11),"x","")</f>
        <v/>
      </c>
      <c r="T1025" s="85" t="str">
        <f>IF(ISERROR(FIND('112'!$M$9,G1025,1)),"",IF((AND(FIND('112'!$M$9,G1025,1)&gt;=1,B1025='112'!$K$9,OR($N1025='112'!$I$6,$O1025='112'!$I$6))),"x",""))</f>
        <v/>
      </c>
      <c r="U1025" s="85" t="str">
        <f>IF(ISERROR(FIND('112'!$M$9,G1025,1)),"",IF((AND(LEFT(G1025,2)=LEFT('112'!$M$9,2),B1025&lt;'112'!$K$9,$N1025='112'!$I$6)),"x",""))</f>
        <v/>
      </c>
      <c r="V1025" s="85" t="str">
        <f>IF(ISERROR(FIND('112'!$M$9,G1025,1)),"",IF((AND(RIGHT(G1025,2)=RIGHT('112'!$M$9,2),B1025&lt;'112'!$K$9,$O1025='112'!$I$6)),"x",""))</f>
        <v/>
      </c>
      <c r="W1025" s="85" t="str">
        <f>IF(AND('341-CT'!$H$9=H1025,OR(LEFT(N1025,3)=$W$7,LEFT(O1025,3)=$W$7)),"x","")</f>
        <v/>
      </c>
      <c r="X1025" s="85" t="str">
        <f>IF(OR(TH!N1025=TH!$X$7,O1025=TH!$X$7),"x","")</f>
        <v/>
      </c>
      <c r="Y1025" s="85" t="str">
        <f>IF(AND(OR(N1025="131",O1025="131"),H1025='131-CT'!$H$9),"x","")</f>
        <v/>
      </c>
      <c r="Z1025" s="85"/>
      <c r="AA1025" s="85" t="str">
        <f>IF(AND(MONTH(E1025)='IN-NX'!$J$5,'IN-NX'!$D$7=D1025),"x","")</f>
        <v/>
      </c>
      <c r="AB1025" s="85" t="str">
        <f>IF(AND(OR(LEFT(TH!N1025,2)="15",LEFT(TH!O1025,2)="15"),'152-CT'!$J$8=TH!F1025),"x","")</f>
        <v/>
      </c>
      <c r="AC1025" s="85" t="str">
        <f>IF(AND(OR(LEFT(TH!N1025,2)="15",LEFT(TH!O1025,2)="15"),TK!$E$7=TH!F1025),"x","")</f>
        <v/>
      </c>
      <c r="AD1025" s="85" t="str">
        <f>IF(AND(N1025="1521",MONTH(C1025)='BK-NL'!$M$11),"x","")</f>
        <v/>
      </c>
    </row>
    <row r="1026" spans="1:30" ht="15.75" customHeight="1">
      <c r="A1026" s="342" t="str">
        <f>IF(B1026&lt;&gt;"",IF(AND(B1026='IN-TC'!$S$4,OR(TH!N1026="1111",TH!O1026="1111")),TH!D1026,""),"")</f>
        <v/>
      </c>
      <c r="B1026" s="63">
        <f t="shared" si="128"/>
        <v>5</v>
      </c>
      <c r="C1026" s="64">
        <f t="shared" si="137"/>
        <v>42494</v>
      </c>
      <c r="D1026" s="320" t="s">
        <v>708</v>
      </c>
      <c r="E1026" s="64">
        <v>42494</v>
      </c>
      <c r="F1026" s="67" t="s">
        <v>1468</v>
      </c>
      <c r="G1026" s="995" t="s">
        <v>929</v>
      </c>
      <c r="H1026" s="74" t="s">
        <v>1233</v>
      </c>
      <c r="I1026" s="446"/>
      <c r="J1026" s="446"/>
      <c r="K1026" s="437"/>
      <c r="L1026" s="446"/>
      <c r="M1026" s="65">
        <v>95000000</v>
      </c>
      <c r="N1026" s="66" t="s">
        <v>72</v>
      </c>
      <c r="O1026" s="66" t="s">
        <v>26</v>
      </c>
      <c r="P1026" s="85" t="str">
        <f>IF(AND('331-CT'!$E$7=TH!H1026,OR(N1026="331",O1026="331")),"x","")</f>
        <v/>
      </c>
      <c r="Q1026" s="85" t="str">
        <f>IF(AND(B1026='111'!$L$11,OR($N1026=$Q$7,$O1026=$Q$7)),"x","")</f>
        <v/>
      </c>
      <c r="R1026" s="85" t="str">
        <f>IF(AND($N1026=$Q$7,$B1026&lt;'111'!$L$11),"x","")</f>
        <v/>
      </c>
      <c r="S1026" s="85" t="str">
        <f>IF(AND($O1026=$Q$7,$B1026&lt;'111'!$L$11),"x","")</f>
        <v/>
      </c>
      <c r="T1026" s="85" t="str">
        <f>IF(ISERROR(FIND('112'!$M$9,G1026,1)),"",IF((AND(FIND('112'!$M$9,G1026,1)&gt;=1,B1026='112'!$K$9,OR($N1026='112'!$I$6,$O1026='112'!$I$6))),"x",""))</f>
        <v/>
      </c>
      <c r="U1026" s="85" t="str">
        <f>IF(ISERROR(FIND('112'!$M$9,G1026,1)),"",IF((AND(LEFT(G1026,2)=LEFT('112'!$M$9,2),B1026&lt;'112'!$K$9,$N1026='112'!$I$6)),"x",""))</f>
        <v/>
      </c>
      <c r="V1026" s="85" t="str">
        <f>IF(ISERROR(FIND('112'!$M$9,G1026,1)),"",IF((AND(RIGHT(G1026,2)=RIGHT('112'!$M$9,2),B1026&lt;'112'!$K$9,$O1026='112'!$I$6)),"x",""))</f>
        <v/>
      </c>
      <c r="W1026" s="85" t="str">
        <f>IF(AND('341-CT'!$H$9=H1026,OR(LEFT(N1026,3)=$W$7,LEFT(O1026,3)=$W$7)),"x","")</f>
        <v/>
      </c>
      <c r="X1026" s="85" t="str">
        <f>IF(OR(TH!N1026=TH!$X$7,O1026=TH!$X$7),"x","")</f>
        <v>x</v>
      </c>
      <c r="Y1026" s="85" t="str">
        <f>IF(AND(OR(N1026="131",O1026="131"),H1026='131-CT'!$H$9),"x","")</f>
        <v/>
      </c>
      <c r="Z1026" s="85"/>
      <c r="AA1026" s="85" t="str">
        <f>IF(AND(MONTH(E1026)='IN-NX'!$J$5,'IN-NX'!$D$7=D1026),"x","")</f>
        <v/>
      </c>
      <c r="AB1026" s="85" t="str">
        <f>IF(AND(OR(LEFT(TH!N1026,2)="15",LEFT(TH!O1026,2)="15"),'152-CT'!$J$8=TH!F1026),"x","")</f>
        <v/>
      </c>
      <c r="AC1026" s="85" t="str">
        <f>IF(AND(OR(LEFT(TH!N1026,2)="15",LEFT(TH!O1026,2)="15"),TK!$E$7=TH!F1026),"x","")</f>
        <v/>
      </c>
      <c r="AD1026" s="85" t="str">
        <f>IF(AND(N1026="1521",MONTH(C1026)='BK-NL'!$M$11),"x","")</f>
        <v/>
      </c>
    </row>
    <row r="1027" spans="1:30" ht="15.75" customHeight="1">
      <c r="A1027" s="342" t="str">
        <f>IF(B1027&lt;&gt;"",IF(AND(B1027='IN-TC'!$S$4,OR(TH!N1027="1111",TH!O1027="1111")),TH!D1027,""),"")</f>
        <v/>
      </c>
      <c r="B1027" s="63">
        <f t="shared" si="128"/>
        <v>5</v>
      </c>
      <c r="C1027" s="64">
        <f t="shared" si="137"/>
        <v>42494</v>
      </c>
      <c r="D1027" s="320" t="s">
        <v>708</v>
      </c>
      <c r="E1027" s="64">
        <v>42494</v>
      </c>
      <c r="F1027" s="67" t="s">
        <v>1569</v>
      </c>
      <c r="G1027" s="995" t="s">
        <v>929</v>
      </c>
      <c r="H1027" s="74" t="s">
        <v>635</v>
      </c>
      <c r="I1027" s="446"/>
      <c r="J1027" s="446"/>
      <c r="K1027" s="437"/>
      <c r="L1027" s="446"/>
      <c r="M1027" s="65">
        <v>31206780</v>
      </c>
      <c r="N1027" s="66" t="s">
        <v>8</v>
      </c>
      <c r="O1027" s="66" t="s">
        <v>26</v>
      </c>
      <c r="P1027" s="85" t="str">
        <f>IF(AND('331-CT'!$E$7=TH!H1027,OR(N1027="331",O1027="331")),"x","")</f>
        <v/>
      </c>
      <c r="Q1027" s="85" t="str">
        <f>IF(AND(B1027='111'!$L$11,OR($N1027=$Q$7,$O1027=$Q$7)),"x","")</f>
        <v/>
      </c>
      <c r="R1027" s="85" t="str">
        <f>IF(AND($N1027=$Q$7,$B1027&lt;'111'!$L$11),"x","")</f>
        <v/>
      </c>
      <c r="S1027" s="85" t="str">
        <f>IF(AND($O1027=$Q$7,$B1027&lt;'111'!$L$11),"x","")</f>
        <v/>
      </c>
      <c r="T1027" s="85" t="str">
        <f>IF(ISERROR(FIND('112'!$M$9,G1027,1)),"",IF((AND(FIND('112'!$M$9,G1027,1)&gt;=1,B1027='112'!$K$9,OR($N1027='112'!$I$6,$O1027='112'!$I$6))),"x",""))</f>
        <v/>
      </c>
      <c r="U1027" s="85" t="str">
        <f>IF(ISERROR(FIND('112'!$M$9,G1027,1)),"",IF((AND(LEFT(G1027,2)=LEFT('112'!$M$9,2),B1027&lt;'112'!$K$9,$N1027='112'!$I$6)),"x",""))</f>
        <v/>
      </c>
      <c r="V1027" s="85" t="str">
        <f>IF(ISERROR(FIND('112'!$M$9,G1027,1)),"",IF((AND(RIGHT(G1027,2)=RIGHT('112'!$M$9,2),B1027&lt;'112'!$K$9,$O1027='112'!$I$6)),"x",""))</f>
        <v/>
      </c>
      <c r="W1027" s="85" t="str">
        <f>IF(AND('341-CT'!$H$9=H1027,OR(LEFT(N1027,3)=$W$7,LEFT(O1027,3)=$W$7)),"x","")</f>
        <v/>
      </c>
      <c r="X1027" s="85" t="str">
        <f>IF(OR(TH!N1027=TH!$X$7,O1027=TH!$X$7),"x","")</f>
        <v/>
      </c>
      <c r="Y1027" s="85" t="str">
        <f>IF(AND(OR(N1027="131",O1027="131"),H1027='131-CT'!$H$9),"x","")</f>
        <v/>
      </c>
      <c r="Z1027" s="85"/>
      <c r="AA1027" s="85" t="str">
        <f>IF(AND(MONTH(E1027)='IN-NX'!$J$5,'IN-NX'!$D$7=D1027),"x","")</f>
        <v/>
      </c>
      <c r="AB1027" s="85" t="str">
        <f>IF(AND(OR(LEFT(TH!N1027,2)="15",LEFT(TH!O1027,2)="15"),'152-CT'!$J$8=TH!F1027),"x","")</f>
        <v/>
      </c>
      <c r="AC1027" s="85" t="str">
        <f>IF(AND(OR(LEFT(TH!N1027,2)="15",LEFT(TH!O1027,2)="15"),TK!$E$7=TH!F1027),"x","")</f>
        <v/>
      </c>
      <c r="AD1027" s="85" t="str">
        <f>IF(AND(N1027="1521",MONTH(C1027)='BK-NL'!$M$11),"x","")</f>
        <v/>
      </c>
    </row>
    <row r="1028" spans="1:30" ht="15.75" customHeight="1">
      <c r="A1028" s="342" t="str">
        <f>IF(B1028&lt;&gt;"",IF(AND(B1028='IN-TC'!$S$4,OR(TH!N1028="1111",TH!O1028="1111")),TH!D1028,""),"")</f>
        <v/>
      </c>
      <c r="B1028" s="63">
        <f t="shared" si="128"/>
        <v>5</v>
      </c>
      <c r="C1028" s="64">
        <f t="shared" si="137"/>
        <v>42494</v>
      </c>
      <c r="D1028" s="320" t="s">
        <v>708</v>
      </c>
      <c r="E1028" s="64">
        <v>42494</v>
      </c>
      <c r="F1028" s="67" t="s">
        <v>1214</v>
      </c>
      <c r="G1028" s="995" t="s">
        <v>929</v>
      </c>
      <c r="H1028" s="7"/>
      <c r="I1028" s="446"/>
      <c r="J1028" s="446"/>
      <c r="K1028" s="437"/>
      <c r="L1028" s="446"/>
      <c r="M1028" s="65">
        <v>25000</v>
      </c>
      <c r="N1028" s="66" t="s">
        <v>101</v>
      </c>
      <c r="O1028" s="66" t="s">
        <v>26</v>
      </c>
      <c r="P1028" s="85" t="str">
        <f>IF(AND('331-CT'!$E$7=TH!H1028,OR(N1028="331",O1028="331")),"x","")</f>
        <v/>
      </c>
      <c r="Q1028" s="85" t="str">
        <f>IF(AND(B1028='111'!$L$11,OR($N1028=$Q$7,$O1028=$Q$7)),"x","")</f>
        <v/>
      </c>
      <c r="R1028" s="85" t="str">
        <f>IF(AND($N1028=$Q$7,$B1028&lt;'111'!$L$11),"x","")</f>
        <v/>
      </c>
      <c r="S1028" s="85" t="str">
        <f>IF(AND($O1028=$Q$7,$B1028&lt;'111'!$L$11),"x","")</f>
        <v/>
      </c>
      <c r="T1028" s="85" t="str">
        <f>IF(ISERROR(FIND('112'!$M$9,G1028,1)),"",IF((AND(FIND('112'!$M$9,G1028,1)&gt;=1,B1028='112'!$K$9,OR($N1028='112'!$I$6,$O1028='112'!$I$6))),"x",""))</f>
        <v/>
      </c>
      <c r="U1028" s="85" t="str">
        <f>IF(ISERROR(FIND('112'!$M$9,G1028,1)),"",IF((AND(LEFT(G1028,2)=LEFT('112'!$M$9,2),B1028&lt;'112'!$K$9,$N1028='112'!$I$6)),"x",""))</f>
        <v/>
      </c>
      <c r="V1028" s="85" t="str">
        <f>IF(ISERROR(FIND('112'!$M$9,G1028,1)),"",IF((AND(RIGHT(G1028,2)=RIGHT('112'!$M$9,2),B1028&lt;'112'!$K$9,$O1028='112'!$I$6)),"x",""))</f>
        <v/>
      </c>
      <c r="W1028" s="85" t="str">
        <f>IF(AND('341-CT'!$H$9=H1028,OR(LEFT(N1028,3)=$W$7,LEFT(O1028,3)=$W$7)),"x","")</f>
        <v/>
      </c>
      <c r="X1028" s="85" t="str">
        <f>IF(OR(TH!N1028=TH!$X$7,O1028=TH!$X$7),"x","")</f>
        <v/>
      </c>
      <c r="Y1028" s="85" t="str">
        <f>IF(AND(OR(N1028="131",O1028="131"),H1028='131-CT'!$H$9),"x","")</f>
        <v/>
      </c>
      <c r="Z1028" s="85"/>
      <c r="AA1028" s="85" t="str">
        <f>IF(AND(MONTH(E1028)='IN-NX'!$J$5,'IN-NX'!$D$7=D1028),"x","")</f>
        <v/>
      </c>
      <c r="AB1028" s="85" t="str">
        <f>IF(AND(OR(LEFT(TH!N1028,2)="15",LEFT(TH!O1028,2)="15"),'152-CT'!$J$8=TH!F1028),"x","")</f>
        <v/>
      </c>
      <c r="AC1028" s="85" t="str">
        <f>IF(AND(OR(LEFT(TH!N1028,2)="15",LEFT(TH!O1028,2)="15"),TK!$E$7=TH!F1028),"x","")</f>
        <v/>
      </c>
      <c r="AD1028" s="85" t="str">
        <f>IF(AND(N1028="1521",MONTH(C1028)='BK-NL'!$M$11),"x","")</f>
        <v/>
      </c>
    </row>
    <row r="1029" spans="1:30" ht="15.75" customHeight="1">
      <c r="A1029" s="342" t="str">
        <f>IF(B1029&lt;&gt;"",IF(AND(B1029='IN-TC'!$S$4,OR(TH!N1029="1111",TH!O1029="1111")),TH!D1029,""),"")</f>
        <v/>
      </c>
      <c r="B1029" s="63">
        <f t="shared" si="128"/>
        <v>5</v>
      </c>
      <c r="C1029" s="64">
        <f t="shared" si="137"/>
        <v>42494</v>
      </c>
      <c r="D1029" s="320" t="s">
        <v>708</v>
      </c>
      <c r="E1029" s="64">
        <v>42494</v>
      </c>
      <c r="F1029" s="67" t="s">
        <v>1215</v>
      </c>
      <c r="G1029" s="995" t="s">
        <v>929</v>
      </c>
      <c r="H1029" s="7"/>
      <c r="I1029" s="446"/>
      <c r="J1029" s="446"/>
      <c r="K1029" s="437"/>
      <c r="L1029" s="446"/>
      <c r="M1029" s="65">
        <v>2500</v>
      </c>
      <c r="N1029" s="66" t="s">
        <v>9</v>
      </c>
      <c r="O1029" s="66" t="s">
        <v>26</v>
      </c>
      <c r="P1029" s="85" t="str">
        <f>IF(AND('331-CT'!$E$7=TH!H1029,OR(N1029="331",O1029="331")),"x","")</f>
        <v/>
      </c>
      <c r="Q1029" s="85" t="str">
        <f>IF(AND(B1029='111'!$L$11,OR($N1029=$Q$7,$O1029=$Q$7)),"x","")</f>
        <v/>
      </c>
      <c r="R1029" s="85" t="str">
        <f>IF(AND($N1029=$Q$7,$B1029&lt;'111'!$L$11),"x","")</f>
        <v/>
      </c>
      <c r="S1029" s="85" t="str">
        <f>IF(AND($O1029=$Q$7,$B1029&lt;'111'!$L$11),"x","")</f>
        <v/>
      </c>
      <c r="T1029" s="85" t="str">
        <f>IF(ISERROR(FIND('112'!$M$9,G1029,1)),"",IF((AND(FIND('112'!$M$9,G1029,1)&gt;=1,B1029='112'!$K$9,OR($N1029='112'!$I$6,$O1029='112'!$I$6))),"x",""))</f>
        <v/>
      </c>
      <c r="U1029" s="85" t="str">
        <f>IF(ISERROR(FIND('112'!$M$9,G1029,1)),"",IF((AND(LEFT(G1029,2)=LEFT('112'!$M$9,2),B1029&lt;'112'!$K$9,$N1029='112'!$I$6)),"x",""))</f>
        <v/>
      </c>
      <c r="V1029" s="85" t="str">
        <f>IF(ISERROR(FIND('112'!$M$9,G1029,1)),"",IF((AND(RIGHT(G1029,2)=RIGHT('112'!$M$9,2),B1029&lt;'112'!$K$9,$O1029='112'!$I$6)),"x",""))</f>
        <v/>
      </c>
      <c r="W1029" s="85" t="str">
        <f>IF(AND('341-CT'!$H$9=H1029,OR(LEFT(N1029,3)=$W$7,LEFT(O1029,3)=$W$7)),"x","")</f>
        <v/>
      </c>
      <c r="X1029" s="85" t="str">
        <f>IF(OR(TH!N1029=TH!$X$7,O1029=TH!$X$7),"x","")</f>
        <v/>
      </c>
      <c r="Y1029" s="85" t="str">
        <f>IF(AND(OR(N1029="131",O1029="131"),H1029='131-CT'!$H$9),"x","")</f>
        <v/>
      </c>
      <c r="Z1029" s="85"/>
      <c r="AA1029" s="85" t="str">
        <f>IF(AND(MONTH(E1029)='IN-NX'!$J$5,'IN-NX'!$D$7=D1029),"x","")</f>
        <v/>
      </c>
      <c r="AB1029" s="85" t="str">
        <f>IF(AND(OR(LEFT(TH!N1029,2)="15",LEFT(TH!O1029,2)="15"),'152-CT'!$J$8=TH!F1029),"x","")</f>
        <v/>
      </c>
      <c r="AC1029" s="85" t="str">
        <f>IF(AND(OR(LEFT(TH!N1029,2)="15",LEFT(TH!O1029,2)="15"),TK!$E$7=TH!F1029),"x","")</f>
        <v/>
      </c>
      <c r="AD1029" s="85" t="str">
        <f>IF(AND(N1029="1521",MONTH(C1029)='BK-NL'!$M$11),"x","")</f>
        <v/>
      </c>
    </row>
    <row r="1030" spans="1:30" ht="15.75" customHeight="1">
      <c r="A1030" s="342" t="str">
        <f>IF(B1030&lt;&gt;"",IF(AND(B1030='IN-TC'!$S$4,OR(TH!N1030="1111",TH!O1030="1111")),TH!D1030,""),"")</f>
        <v/>
      </c>
      <c r="B1030" s="63">
        <f t="shared" si="128"/>
        <v>5</v>
      </c>
      <c r="C1030" s="64">
        <f t="shared" si="137"/>
        <v>42494</v>
      </c>
      <c r="D1030" s="320" t="s">
        <v>708</v>
      </c>
      <c r="E1030" s="64">
        <v>42494</v>
      </c>
      <c r="F1030" s="67" t="s">
        <v>1570</v>
      </c>
      <c r="G1030" s="995" t="s">
        <v>929</v>
      </c>
      <c r="H1030" s="74"/>
      <c r="I1030" s="446"/>
      <c r="J1030" s="446"/>
      <c r="K1030" s="437"/>
      <c r="L1030" s="446"/>
      <c r="M1030" s="65">
        <v>20000</v>
      </c>
      <c r="N1030" s="66" t="s">
        <v>101</v>
      </c>
      <c r="O1030" s="66" t="s">
        <v>26</v>
      </c>
      <c r="P1030" s="85" t="str">
        <f>IF(AND('331-CT'!$E$7=TH!H1030,OR(N1030="331",O1030="331")),"x","")</f>
        <v/>
      </c>
      <c r="Q1030" s="85" t="str">
        <f>IF(AND(B1030='111'!$L$11,OR($N1030=$Q$7,$O1030=$Q$7)),"x","")</f>
        <v/>
      </c>
      <c r="R1030" s="85" t="str">
        <f>IF(AND($N1030=$Q$7,$B1030&lt;'111'!$L$11),"x","")</f>
        <v/>
      </c>
      <c r="S1030" s="85" t="str">
        <f>IF(AND($O1030=$Q$7,$B1030&lt;'111'!$L$11),"x","")</f>
        <v/>
      </c>
      <c r="T1030" s="85" t="str">
        <f>IF(ISERROR(FIND('112'!$M$9,G1030,1)),"",IF((AND(FIND('112'!$M$9,G1030,1)&gt;=1,B1030='112'!$K$9,OR($N1030='112'!$I$6,$O1030='112'!$I$6))),"x",""))</f>
        <v/>
      </c>
      <c r="U1030" s="85" t="str">
        <f>IF(ISERROR(FIND('112'!$M$9,G1030,1)),"",IF((AND(LEFT(G1030,2)=LEFT('112'!$M$9,2),B1030&lt;'112'!$K$9,$N1030='112'!$I$6)),"x",""))</f>
        <v/>
      </c>
      <c r="V1030" s="85" t="str">
        <f>IF(ISERROR(FIND('112'!$M$9,G1030,1)),"",IF((AND(RIGHT(G1030,2)=RIGHT('112'!$M$9,2),B1030&lt;'112'!$K$9,$O1030='112'!$I$6)),"x",""))</f>
        <v/>
      </c>
      <c r="W1030" s="85" t="str">
        <f>IF(AND('341-CT'!$H$9=H1030,OR(LEFT(N1030,3)=$W$7,LEFT(O1030,3)=$W$7)),"x","")</f>
        <v/>
      </c>
      <c r="X1030" s="85" t="str">
        <f>IF(OR(TH!N1030=TH!$X$7,O1030=TH!$X$7),"x","")</f>
        <v/>
      </c>
      <c r="Y1030" s="85" t="str">
        <f>IF(AND(OR(N1030="131",O1030="131"),H1030='131-CT'!$H$9),"x","")</f>
        <v/>
      </c>
      <c r="Z1030" s="85"/>
      <c r="AA1030" s="85" t="str">
        <f>IF(AND(MONTH(E1030)='IN-NX'!$J$5,'IN-NX'!$D$7=D1030),"x","")</f>
        <v/>
      </c>
      <c r="AB1030" s="85" t="str">
        <f>IF(AND(OR(LEFT(TH!N1030,2)="15",LEFT(TH!O1030,2)="15"),'152-CT'!$J$8=TH!F1030),"x","")</f>
        <v/>
      </c>
      <c r="AC1030" s="85" t="str">
        <f>IF(AND(OR(LEFT(TH!N1030,2)="15",LEFT(TH!O1030,2)="15"),TK!$E$7=TH!F1030),"x","")</f>
        <v/>
      </c>
      <c r="AD1030" s="85" t="str">
        <f>IF(AND(N1030="1521",MONTH(C1030)='BK-NL'!$M$11),"x","")</f>
        <v/>
      </c>
    </row>
    <row r="1031" spans="1:30" ht="15.75" customHeight="1">
      <c r="A1031" s="342" t="str">
        <f>IF(B1031&lt;&gt;"",IF(AND(B1031='IN-TC'!$S$4,OR(TH!N1031="1111",TH!O1031="1111")),TH!D1031,""),"")</f>
        <v/>
      </c>
      <c r="B1031" s="63">
        <f t="shared" si="128"/>
        <v>5</v>
      </c>
      <c r="C1031" s="64">
        <f t="shared" ref="C1031:C1056" si="138">E1031</f>
        <v>42494</v>
      </c>
      <c r="D1031" s="320" t="s">
        <v>708</v>
      </c>
      <c r="E1031" s="64">
        <v>42494</v>
      </c>
      <c r="F1031" s="67" t="s">
        <v>1571</v>
      </c>
      <c r="G1031" s="995" t="s">
        <v>929</v>
      </c>
      <c r="H1031" s="74"/>
      <c r="I1031" s="446"/>
      <c r="J1031" s="446"/>
      <c r="K1031" s="437"/>
      <c r="L1031" s="446"/>
      <c r="M1031" s="65">
        <v>2000</v>
      </c>
      <c r="N1031" s="66" t="s">
        <v>9</v>
      </c>
      <c r="O1031" s="66" t="s">
        <v>26</v>
      </c>
      <c r="P1031" s="85" t="str">
        <f>IF(AND('331-CT'!$E$7=TH!H1031,OR(N1031="331",O1031="331")),"x","")</f>
        <v/>
      </c>
      <c r="Q1031" s="85" t="str">
        <f>IF(AND(B1031='111'!$L$11,OR($N1031=$Q$7,$O1031=$Q$7)),"x","")</f>
        <v/>
      </c>
      <c r="R1031" s="85" t="str">
        <f>IF(AND($N1031=$Q$7,$B1031&lt;'111'!$L$11),"x","")</f>
        <v/>
      </c>
      <c r="S1031" s="85" t="str">
        <f>IF(AND($O1031=$Q$7,$B1031&lt;'111'!$L$11),"x","")</f>
        <v/>
      </c>
      <c r="T1031" s="85" t="str">
        <f>IF(ISERROR(FIND('112'!$M$9,G1031,1)),"",IF((AND(FIND('112'!$M$9,G1031,1)&gt;=1,B1031='112'!$K$9,OR($N1031='112'!$I$6,$O1031='112'!$I$6))),"x",""))</f>
        <v/>
      </c>
      <c r="U1031" s="85" t="str">
        <f>IF(ISERROR(FIND('112'!$M$9,G1031,1)),"",IF((AND(LEFT(G1031,2)=LEFT('112'!$M$9,2),B1031&lt;'112'!$K$9,$N1031='112'!$I$6)),"x",""))</f>
        <v/>
      </c>
      <c r="V1031" s="85" t="str">
        <f>IF(ISERROR(FIND('112'!$M$9,G1031,1)),"",IF((AND(RIGHT(G1031,2)=RIGHT('112'!$M$9,2),B1031&lt;'112'!$K$9,$O1031='112'!$I$6)),"x",""))</f>
        <v/>
      </c>
      <c r="W1031" s="85" t="str">
        <f>IF(AND('341-CT'!$H$9=H1031,OR(LEFT(N1031,3)=$W$7,LEFT(O1031,3)=$W$7)),"x","")</f>
        <v/>
      </c>
      <c r="X1031" s="85" t="str">
        <f>IF(OR(TH!N1031=TH!$X$7,O1031=TH!$X$7),"x","")</f>
        <v/>
      </c>
      <c r="Y1031" s="85" t="str">
        <f>IF(AND(OR(N1031="131",O1031="131"),H1031='131-CT'!$H$9),"x","")</f>
        <v/>
      </c>
      <c r="Z1031" s="85"/>
      <c r="AA1031" s="85" t="str">
        <f>IF(AND(MONTH(E1031)='IN-NX'!$J$5,'IN-NX'!$D$7=D1031),"x","")</f>
        <v/>
      </c>
      <c r="AB1031" s="85" t="str">
        <f>IF(AND(OR(LEFT(TH!N1031,2)="15",LEFT(TH!O1031,2)="15"),'152-CT'!$J$8=TH!F1031),"x","")</f>
        <v/>
      </c>
      <c r="AC1031" s="85" t="str">
        <f>IF(AND(OR(LEFT(TH!N1031,2)="15",LEFT(TH!O1031,2)="15"),TK!$E$7=TH!F1031),"x","")</f>
        <v/>
      </c>
      <c r="AD1031" s="85" t="str">
        <f>IF(AND(N1031="1521",MONTH(C1031)='BK-NL'!$M$11),"x","")</f>
        <v/>
      </c>
    </row>
    <row r="1032" spans="1:30" ht="15.75" customHeight="1">
      <c r="A1032" s="342" t="str">
        <f>IF(B1032&lt;&gt;"",IF(AND(B1032='IN-TC'!$S$4,OR(TH!N1032="1111",TH!O1032="1111")),TH!D1032,""),"")</f>
        <v/>
      </c>
      <c r="B1032" s="63">
        <f t="shared" si="128"/>
        <v>5</v>
      </c>
      <c r="C1032" s="64">
        <f t="shared" si="138"/>
        <v>42496</v>
      </c>
      <c r="D1032" s="320" t="s">
        <v>708</v>
      </c>
      <c r="E1032" s="64">
        <v>42496</v>
      </c>
      <c r="F1032" s="67" t="s">
        <v>1211</v>
      </c>
      <c r="G1032" s="995" t="s">
        <v>929</v>
      </c>
      <c r="H1032" s="7" t="s">
        <v>721</v>
      </c>
      <c r="I1032" s="446"/>
      <c r="J1032" s="446"/>
      <c r="K1032" s="437"/>
      <c r="L1032" s="446"/>
      <c r="M1032" s="65">
        <v>1717301</v>
      </c>
      <c r="N1032" s="66" t="s">
        <v>99</v>
      </c>
      <c r="O1032" s="66" t="s">
        <v>26</v>
      </c>
      <c r="P1032" s="85" t="str">
        <f>IF(AND('331-CT'!$E$7=TH!H1032,OR(N1032="331",O1032="331")),"x","")</f>
        <v/>
      </c>
      <c r="Q1032" s="85" t="str">
        <f>IF(AND(B1032='111'!$L$11,OR($N1032=$Q$7,$O1032=$Q$7)),"x","")</f>
        <v/>
      </c>
      <c r="R1032" s="85" t="str">
        <f>IF(AND($N1032=$Q$7,$B1032&lt;'111'!$L$11),"x","")</f>
        <v/>
      </c>
      <c r="S1032" s="85" t="str">
        <f>IF(AND($O1032=$Q$7,$B1032&lt;'111'!$L$11),"x","")</f>
        <v/>
      </c>
      <c r="T1032" s="85" t="str">
        <f>IF(ISERROR(FIND('112'!$M$9,G1032,1)),"",IF((AND(FIND('112'!$M$9,G1032,1)&gt;=1,B1032='112'!$K$9,OR($N1032='112'!$I$6,$O1032='112'!$I$6))),"x",""))</f>
        <v/>
      </c>
      <c r="U1032" s="85" t="str">
        <f>IF(ISERROR(FIND('112'!$M$9,G1032,1)),"",IF((AND(LEFT(G1032,2)=LEFT('112'!$M$9,2),B1032&lt;'112'!$K$9,$N1032='112'!$I$6)),"x",""))</f>
        <v/>
      </c>
      <c r="V1032" s="85" t="str">
        <f>IF(ISERROR(FIND('112'!$M$9,G1032,1)),"",IF((AND(RIGHT(G1032,2)=RIGHT('112'!$M$9,2),B1032&lt;'112'!$K$9,$O1032='112'!$I$6)),"x",""))</f>
        <v/>
      </c>
      <c r="W1032" s="85" t="str">
        <f>IF(AND('341-CT'!$H$9=H1032,OR(LEFT(N1032,3)=$W$7,LEFT(O1032,3)=$W$7)),"x","")</f>
        <v/>
      </c>
      <c r="X1032" s="85" t="str">
        <f>IF(OR(TH!N1032=TH!$X$7,O1032=TH!$X$7),"x","")</f>
        <v/>
      </c>
      <c r="Y1032" s="85" t="str">
        <f>IF(AND(OR(N1032="131",O1032="131"),H1032='131-CT'!$H$9),"x","")</f>
        <v/>
      </c>
      <c r="Z1032" s="85"/>
      <c r="AA1032" s="85" t="str">
        <f>IF(AND(MONTH(E1032)='IN-NX'!$J$5,'IN-NX'!$D$7=D1032),"x","")</f>
        <v/>
      </c>
      <c r="AB1032" s="85" t="str">
        <f>IF(AND(OR(LEFT(TH!N1032,2)="15",LEFT(TH!O1032,2)="15"),'152-CT'!$J$8=TH!F1032),"x","")</f>
        <v/>
      </c>
      <c r="AC1032" s="85" t="str">
        <f>IF(AND(OR(LEFT(TH!N1032,2)="15",LEFT(TH!O1032,2)="15"),TK!$E$7=TH!F1032),"x","")</f>
        <v/>
      </c>
      <c r="AD1032" s="85" t="str">
        <f>IF(AND(N1032="1521",MONTH(C1032)='BK-NL'!$M$11),"x","")</f>
        <v/>
      </c>
    </row>
    <row r="1033" spans="1:30" ht="15.75" customHeight="1">
      <c r="A1033" s="342" t="str">
        <f>IF(B1033&lt;&gt;"",IF(AND(B1033='IN-TC'!$S$4,OR(TH!N1033="1111",TH!O1033="1111")),TH!D1033,""),"")</f>
        <v/>
      </c>
      <c r="B1033" s="63">
        <f t="shared" si="128"/>
        <v>5</v>
      </c>
      <c r="C1033" s="64">
        <f t="shared" si="138"/>
        <v>42496</v>
      </c>
      <c r="D1033" s="320" t="s">
        <v>708</v>
      </c>
      <c r="E1033" s="64">
        <v>42496</v>
      </c>
      <c r="F1033" s="67" t="s">
        <v>1211</v>
      </c>
      <c r="G1033" s="995" t="s">
        <v>929</v>
      </c>
      <c r="H1033" s="7" t="s">
        <v>720</v>
      </c>
      <c r="I1033" s="446"/>
      <c r="J1033" s="446"/>
      <c r="K1033" s="437"/>
      <c r="L1033" s="446"/>
      <c r="M1033" s="65">
        <v>2788884</v>
      </c>
      <c r="N1033" s="66" t="s">
        <v>99</v>
      </c>
      <c r="O1033" s="66" t="s">
        <v>26</v>
      </c>
      <c r="P1033" s="85" t="str">
        <f>IF(AND('331-CT'!$E$7=TH!H1033,OR(N1033="331",O1033="331")),"x","")</f>
        <v/>
      </c>
      <c r="Q1033" s="85" t="str">
        <f>IF(AND(B1033='111'!$L$11,OR($N1033=$Q$7,$O1033=$Q$7)),"x","")</f>
        <v/>
      </c>
      <c r="R1033" s="85" t="str">
        <f>IF(AND($N1033=$Q$7,$B1033&lt;'111'!$L$11),"x","")</f>
        <v/>
      </c>
      <c r="S1033" s="85" t="str">
        <f>IF(AND($O1033=$Q$7,$B1033&lt;'111'!$L$11),"x","")</f>
        <v/>
      </c>
      <c r="T1033" s="85" t="str">
        <f>IF(ISERROR(FIND('112'!$M$9,G1033,1)),"",IF((AND(FIND('112'!$M$9,G1033,1)&gt;=1,B1033='112'!$K$9,OR($N1033='112'!$I$6,$O1033='112'!$I$6))),"x",""))</f>
        <v/>
      </c>
      <c r="U1033" s="85" t="str">
        <f>IF(ISERROR(FIND('112'!$M$9,G1033,1)),"",IF((AND(LEFT(G1033,2)=LEFT('112'!$M$9,2),B1033&lt;'112'!$K$9,$N1033='112'!$I$6)),"x",""))</f>
        <v/>
      </c>
      <c r="V1033" s="85" t="str">
        <f>IF(ISERROR(FIND('112'!$M$9,G1033,1)),"",IF((AND(RIGHT(G1033,2)=RIGHT('112'!$M$9,2),B1033&lt;'112'!$K$9,$O1033='112'!$I$6)),"x",""))</f>
        <v/>
      </c>
      <c r="W1033" s="85" t="str">
        <f>IF(AND('341-CT'!$H$9=H1033,OR(LEFT(N1033,3)=$W$7,LEFT(O1033,3)=$W$7)),"x","")</f>
        <v/>
      </c>
      <c r="X1033" s="85" t="str">
        <f>IF(OR(TH!N1033=TH!$X$7,O1033=TH!$X$7),"x","")</f>
        <v/>
      </c>
      <c r="Y1033" s="85" t="str">
        <f>IF(AND(OR(N1033="131",O1033="131"),H1033='131-CT'!$H$9),"x","")</f>
        <v/>
      </c>
      <c r="Z1033" s="85"/>
      <c r="AA1033" s="85" t="str">
        <f>IF(AND(MONTH(E1033)='IN-NX'!$J$5,'IN-NX'!$D$7=D1033),"x","")</f>
        <v/>
      </c>
      <c r="AB1033" s="85" t="str">
        <f>IF(AND(OR(LEFT(TH!N1033,2)="15",LEFT(TH!O1033,2)="15"),'152-CT'!$J$8=TH!F1033),"x","")</f>
        <v/>
      </c>
      <c r="AC1033" s="85" t="str">
        <f>IF(AND(OR(LEFT(TH!N1033,2)="15",LEFT(TH!O1033,2)="15"),TK!$E$7=TH!F1033),"x","")</f>
        <v/>
      </c>
      <c r="AD1033" s="85" t="str">
        <f>IF(AND(N1033="1521",MONTH(C1033)='BK-NL'!$M$11),"x","")</f>
        <v/>
      </c>
    </row>
    <row r="1034" spans="1:30" ht="15.75" customHeight="1">
      <c r="A1034" s="342" t="str">
        <f>IF(B1034&lt;&gt;"",IF(AND(B1034='IN-TC'!$S$4,OR(TH!N1034="1111",TH!O1034="1111")),TH!D1034,""),"")</f>
        <v/>
      </c>
      <c r="B1034" s="63">
        <f t="shared" si="128"/>
        <v>5</v>
      </c>
      <c r="C1034" s="64">
        <f t="shared" si="138"/>
        <v>42500</v>
      </c>
      <c r="D1034" s="320" t="s">
        <v>708</v>
      </c>
      <c r="E1034" s="64">
        <v>42500</v>
      </c>
      <c r="F1034" s="67" t="s">
        <v>1206</v>
      </c>
      <c r="G1034" s="995" t="s">
        <v>929</v>
      </c>
      <c r="H1034" s="74"/>
      <c r="I1034" s="446"/>
      <c r="J1034" s="446"/>
      <c r="K1034" s="437"/>
      <c r="L1034" s="446"/>
      <c r="M1034" s="65">
        <v>333900</v>
      </c>
      <c r="N1034" s="66" t="s">
        <v>101</v>
      </c>
      <c r="O1034" s="66" t="s">
        <v>26</v>
      </c>
      <c r="P1034" s="85" t="str">
        <f>IF(AND('331-CT'!$E$7=TH!H1034,OR(N1034="331",O1034="331")),"x","")</f>
        <v/>
      </c>
      <c r="Q1034" s="85" t="str">
        <f>IF(AND(B1034='111'!$L$11,OR($N1034=$Q$7,$O1034=$Q$7)),"x","")</f>
        <v/>
      </c>
      <c r="R1034" s="85" t="str">
        <f>IF(AND($N1034=$Q$7,$B1034&lt;'111'!$L$11),"x","")</f>
        <v/>
      </c>
      <c r="S1034" s="85" t="str">
        <f>IF(AND($O1034=$Q$7,$B1034&lt;'111'!$L$11),"x","")</f>
        <v/>
      </c>
      <c r="T1034" s="85" t="str">
        <f>IF(ISERROR(FIND('112'!$M$9,G1034,1)),"",IF((AND(FIND('112'!$M$9,G1034,1)&gt;=1,B1034='112'!$K$9,OR($N1034='112'!$I$6,$O1034='112'!$I$6))),"x",""))</f>
        <v/>
      </c>
      <c r="U1034" s="85" t="str">
        <f>IF(ISERROR(FIND('112'!$M$9,G1034,1)),"",IF((AND(LEFT(G1034,2)=LEFT('112'!$M$9,2),B1034&lt;'112'!$K$9,$N1034='112'!$I$6)),"x",""))</f>
        <v/>
      </c>
      <c r="V1034" s="85" t="str">
        <f>IF(ISERROR(FIND('112'!$M$9,G1034,1)),"",IF((AND(RIGHT(G1034,2)=RIGHT('112'!$M$9,2),B1034&lt;'112'!$K$9,$O1034='112'!$I$6)),"x",""))</f>
        <v/>
      </c>
      <c r="W1034" s="85" t="str">
        <f>IF(AND('341-CT'!$H$9=H1034,OR(LEFT(N1034,3)=$W$7,LEFT(O1034,3)=$W$7)),"x","")</f>
        <v/>
      </c>
      <c r="X1034" s="85" t="str">
        <f>IF(OR(TH!N1034=TH!$X$7,O1034=TH!$X$7),"x","")</f>
        <v/>
      </c>
      <c r="Y1034" s="85" t="str">
        <f>IF(AND(OR(N1034="131",O1034="131"),H1034='131-CT'!$H$9),"x","")</f>
        <v/>
      </c>
      <c r="Z1034" s="85"/>
      <c r="AA1034" s="85" t="str">
        <f>IF(AND(MONTH(E1034)='IN-NX'!$J$5,'IN-NX'!$D$7=D1034),"x","")</f>
        <v/>
      </c>
      <c r="AB1034" s="85" t="str">
        <f>IF(AND(OR(LEFT(TH!N1034,2)="15",LEFT(TH!O1034,2)="15"),'152-CT'!$J$8=TH!F1034),"x","")</f>
        <v/>
      </c>
      <c r="AC1034" s="85" t="str">
        <f>IF(AND(OR(LEFT(TH!N1034,2)="15",LEFT(TH!O1034,2)="15"),TK!$E$7=TH!F1034),"x","")</f>
        <v/>
      </c>
      <c r="AD1034" s="85" t="str">
        <f>IF(AND(N1034="1521",MONTH(C1034)='BK-NL'!$M$11),"x","")</f>
        <v/>
      </c>
    </row>
    <row r="1035" spans="1:30" ht="15.75" customHeight="1">
      <c r="A1035" s="342" t="str">
        <f>IF(B1035&lt;&gt;"",IF(AND(B1035='IN-TC'!$S$4,OR(TH!N1035="1111",TH!O1035="1111")),TH!D1035,""),"")</f>
        <v/>
      </c>
      <c r="B1035" s="63">
        <f t="shared" si="128"/>
        <v>5</v>
      </c>
      <c r="C1035" s="64">
        <f t="shared" si="138"/>
        <v>42500</v>
      </c>
      <c r="D1035" s="320" t="s">
        <v>708</v>
      </c>
      <c r="E1035" s="64">
        <v>42500</v>
      </c>
      <c r="F1035" s="67" t="s">
        <v>1207</v>
      </c>
      <c r="G1035" s="995" t="s">
        <v>929</v>
      </c>
      <c r="H1035" s="74"/>
      <c r="I1035" s="446"/>
      <c r="J1035" s="446"/>
      <c r="K1035" s="437"/>
      <c r="L1035" s="446"/>
      <c r="M1035" s="65">
        <v>33390</v>
      </c>
      <c r="N1035" s="66" t="s">
        <v>9</v>
      </c>
      <c r="O1035" s="66" t="s">
        <v>26</v>
      </c>
      <c r="P1035" s="85" t="str">
        <f>IF(AND('331-CT'!$E$7=TH!H1035,OR(N1035="331",O1035="331")),"x","")</f>
        <v/>
      </c>
      <c r="Q1035" s="85" t="str">
        <f>IF(AND(B1035='111'!$L$11,OR($N1035=$Q$7,$O1035=$Q$7)),"x","")</f>
        <v/>
      </c>
      <c r="R1035" s="85" t="str">
        <f>IF(AND($N1035=$Q$7,$B1035&lt;'111'!$L$11),"x","")</f>
        <v/>
      </c>
      <c r="S1035" s="85" t="str">
        <f>IF(AND($O1035=$Q$7,$B1035&lt;'111'!$L$11),"x","")</f>
        <v/>
      </c>
      <c r="T1035" s="85" t="str">
        <f>IF(ISERROR(FIND('112'!$M$9,G1035,1)),"",IF((AND(FIND('112'!$M$9,G1035,1)&gt;=1,B1035='112'!$K$9,OR($N1035='112'!$I$6,$O1035='112'!$I$6))),"x",""))</f>
        <v/>
      </c>
      <c r="U1035" s="85" t="str">
        <f>IF(ISERROR(FIND('112'!$M$9,G1035,1)),"",IF((AND(LEFT(G1035,2)=LEFT('112'!$M$9,2),B1035&lt;'112'!$K$9,$N1035='112'!$I$6)),"x",""))</f>
        <v/>
      </c>
      <c r="V1035" s="85" t="str">
        <f>IF(ISERROR(FIND('112'!$M$9,G1035,1)),"",IF((AND(RIGHT(G1035,2)=RIGHT('112'!$M$9,2),B1035&lt;'112'!$K$9,$O1035='112'!$I$6)),"x",""))</f>
        <v/>
      </c>
      <c r="W1035" s="85" t="str">
        <f>IF(AND('341-CT'!$H$9=H1035,OR(LEFT(N1035,3)=$W$7,LEFT(O1035,3)=$W$7)),"x","")</f>
        <v/>
      </c>
      <c r="X1035" s="85" t="str">
        <f>IF(OR(TH!N1035=TH!$X$7,O1035=TH!$X$7),"x","")</f>
        <v/>
      </c>
      <c r="Y1035" s="85" t="str">
        <f>IF(AND(OR(N1035="131",O1035="131"),H1035='131-CT'!$H$9),"x","")</f>
        <v/>
      </c>
      <c r="Z1035" s="85"/>
      <c r="AA1035" s="85" t="str">
        <f>IF(AND(MONTH(E1035)='IN-NX'!$J$5,'IN-NX'!$D$7=D1035),"x","")</f>
        <v/>
      </c>
      <c r="AB1035" s="85" t="str">
        <f>IF(AND(OR(LEFT(TH!N1035,2)="15",LEFT(TH!O1035,2)="15"),'152-CT'!$J$8=TH!F1035),"x","")</f>
        <v/>
      </c>
      <c r="AC1035" s="85" t="str">
        <f>IF(AND(OR(LEFT(TH!N1035,2)="15",LEFT(TH!O1035,2)="15"),TK!$E$7=TH!F1035),"x","")</f>
        <v/>
      </c>
      <c r="AD1035" s="85" t="str">
        <f>IF(AND(N1035="1521",MONTH(C1035)='BK-NL'!$M$11),"x","")</f>
        <v/>
      </c>
    </row>
    <row r="1036" spans="1:30" ht="15.75" customHeight="1">
      <c r="A1036" s="342" t="str">
        <f>IF(B1036&lt;&gt;"",IF(AND(B1036='IN-TC'!$S$4,OR(TH!N1036="1111",TH!O1036="1111")),TH!D1036,""),"")</f>
        <v/>
      </c>
      <c r="B1036" s="63">
        <f t="shared" si="128"/>
        <v>5</v>
      </c>
      <c r="C1036" s="64">
        <f t="shared" si="138"/>
        <v>42501</v>
      </c>
      <c r="D1036" s="320" t="s">
        <v>884</v>
      </c>
      <c r="E1036" s="64">
        <v>42501</v>
      </c>
      <c r="F1036" s="67" t="s">
        <v>1157</v>
      </c>
      <c r="G1036" s="995" t="s">
        <v>929</v>
      </c>
      <c r="H1036" s="74" t="s">
        <v>772</v>
      </c>
      <c r="I1036" s="446"/>
      <c r="J1036" s="446"/>
      <c r="K1036" s="437"/>
      <c r="L1036" s="446"/>
      <c r="M1036" s="65">
        <v>1000000000</v>
      </c>
      <c r="N1036" s="66" t="s">
        <v>63</v>
      </c>
      <c r="O1036" s="66" t="s">
        <v>26</v>
      </c>
      <c r="P1036" s="85" t="str">
        <f>IF(AND('331-CT'!$E$7=TH!H1036,OR(N1036="331",O1036="331")),"x","")</f>
        <v/>
      </c>
      <c r="Q1036" s="85" t="str">
        <f>IF(AND(B1036='111'!$L$11,OR($N1036=$Q$7,$O1036=$Q$7)),"x","")</f>
        <v/>
      </c>
      <c r="R1036" s="85" t="str">
        <f>IF(AND($N1036=$Q$7,$B1036&lt;'111'!$L$11),"x","")</f>
        <v/>
      </c>
      <c r="S1036" s="85" t="str">
        <f>IF(AND($O1036=$Q$7,$B1036&lt;'111'!$L$11),"x","")</f>
        <v/>
      </c>
      <c r="T1036" s="85" t="str">
        <f>IF(ISERROR(FIND('112'!$M$9,G1036,1)),"",IF((AND(FIND('112'!$M$9,G1036,1)&gt;=1,B1036='112'!$K$9,OR($N1036='112'!$I$6,$O1036='112'!$I$6))),"x",""))</f>
        <v/>
      </c>
      <c r="U1036" s="85" t="str">
        <f>IF(ISERROR(FIND('112'!$M$9,G1036,1)),"",IF((AND(LEFT(G1036,2)=LEFT('112'!$M$9,2),B1036&lt;'112'!$K$9,$N1036='112'!$I$6)),"x",""))</f>
        <v/>
      </c>
      <c r="V1036" s="85" t="str">
        <f>IF(ISERROR(FIND('112'!$M$9,G1036,1)),"",IF((AND(RIGHT(G1036,2)=RIGHT('112'!$M$9,2),B1036&lt;'112'!$K$9,$O1036='112'!$I$6)),"x",""))</f>
        <v/>
      </c>
      <c r="W1036" s="85" t="str">
        <f>IF(AND('341-CT'!$H$9=H1036,OR(LEFT(N1036,3)=$W$7,LEFT(O1036,3)=$W$7)),"x","")</f>
        <v/>
      </c>
      <c r="X1036" s="85" t="str">
        <f>IF(OR(TH!N1036=TH!$X$7,O1036=TH!$X$7),"x","")</f>
        <v/>
      </c>
      <c r="Y1036" s="85" t="str">
        <f>IF(AND(OR(N1036="131",O1036="131"),H1036='131-CT'!$H$9),"x","")</f>
        <v/>
      </c>
      <c r="Z1036" s="85"/>
      <c r="AA1036" s="85" t="str">
        <f>IF(AND(MONTH(E1036)='IN-NX'!$J$5,'IN-NX'!$D$7=D1036),"x","")</f>
        <v/>
      </c>
      <c r="AB1036" s="85" t="str">
        <f>IF(AND(OR(LEFT(TH!N1036,2)="15",LEFT(TH!O1036,2)="15"),'152-CT'!$J$8=TH!F1036),"x","")</f>
        <v/>
      </c>
      <c r="AC1036" s="85" t="str">
        <f>IF(AND(OR(LEFT(TH!N1036,2)="15",LEFT(TH!O1036,2)="15"),TK!$E$7=TH!F1036),"x","")</f>
        <v/>
      </c>
      <c r="AD1036" s="85" t="str">
        <f>IF(AND(N1036="1521",MONTH(C1036)='BK-NL'!$M$11),"x","")</f>
        <v/>
      </c>
    </row>
    <row r="1037" spans="1:30" ht="15.75" customHeight="1">
      <c r="A1037" s="342" t="str">
        <f>IF(B1037&lt;&gt;"",IF(AND(B1037='IN-TC'!$S$4,OR(TH!N1037="1111",TH!O1037="1111")),TH!D1037,""),"")</f>
        <v/>
      </c>
      <c r="B1037" s="63">
        <f t="shared" si="128"/>
        <v>5</v>
      </c>
      <c r="C1037" s="64">
        <f t="shared" si="138"/>
        <v>42502</v>
      </c>
      <c r="D1037" s="320" t="s">
        <v>913</v>
      </c>
      <c r="E1037" s="64">
        <v>42502</v>
      </c>
      <c r="F1037" s="67" t="s">
        <v>1157</v>
      </c>
      <c r="G1037" s="995" t="s">
        <v>929</v>
      </c>
      <c r="H1037" s="74" t="s">
        <v>772</v>
      </c>
      <c r="I1037" s="446"/>
      <c r="J1037" s="446"/>
      <c r="K1037" s="437"/>
      <c r="L1037" s="446"/>
      <c r="M1037" s="65">
        <v>250000000</v>
      </c>
      <c r="N1037" s="66" t="s">
        <v>63</v>
      </c>
      <c r="O1037" s="66" t="s">
        <v>26</v>
      </c>
      <c r="P1037" s="85" t="str">
        <f>IF(AND('331-CT'!$E$7=TH!H1037,OR(N1037="331",O1037="331")),"x","")</f>
        <v/>
      </c>
      <c r="Q1037" s="85" t="str">
        <f>IF(AND(B1037='111'!$L$11,OR($N1037=$Q$7,$O1037=$Q$7)),"x","")</f>
        <v/>
      </c>
      <c r="R1037" s="85" t="str">
        <f>IF(AND($N1037=$Q$7,$B1037&lt;'111'!$L$11),"x","")</f>
        <v/>
      </c>
      <c r="S1037" s="85" t="str">
        <f>IF(AND($O1037=$Q$7,$B1037&lt;'111'!$L$11),"x","")</f>
        <v/>
      </c>
      <c r="T1037" s="85" t="str">
        <f>IF(ISERROR(FIND('112'!$M$9,G1037,1)),"",IF((AND(FIND('112'!$M$9,G1037,1)&gt;=1,B1037='112'!$K$9,OR($N1037='112'!$I$6,$O1037='112'!$I$6))),"x",""))</f>
        <v/>
      </c>
      <c r="U1037" s="85" t="str">
        <f>IF(ISERROR(FIND('112'!$M$9,G1037,1)),"",IF((AND(LEFT(G1037,2)=LEFT('112'!$M$9,2),B1037&lt;'112'!$K$9,$N1037='112'!$I$6)),"x",""))</f>
        <v/>
      </c>
      <c r="V1037" s="85" t="str">
        <f>IF(ISERROR(FIND('112'!$M$9,G1037,1)),"",IF((AND(RIGHT(G1037,2)=RIGHT('112'!$M$9,2),B1037&lt;'112'!$K$9,$O1037='112'!$I$6)),"x",""))</f>
        <v/>
      </c>
      <c r="W1037" s="85" t="str">
        <f>IF(AND('341-CT'!$H$9=H1037,OR(LEFT(N1037,3)=$W$7,LEFT(O1037,3)=$W$7)),"x","")</f>
        <v/>
      </c>
      <c r="X1037" s="85" t="str">
        <f>IF(OR(TH!N1037=TH!$X$7,O1037=TH!$X$7),"x","")</f>
        <v/>
      </c>
      <c r="Y1037" s="85" t="str">
        <f>IF(AND(OR(N1037="131",O1037="131"),H1037='131-CT'!$H$9),"x","")</f>
        <v/>
      </c>
      <c r="Z1037" s="85"/>
      <c r="AA1037" s="85" t="str">
        <f>IF(AND(MONTH(E1037)='IN-NX'!$J$5,'IN-NX'!$D$7=D1037),"x","")</f>
        <v/>
      </c>
      <c r="AB1037" s="85" t="str">
        <f>IF(AND(OR(LEFT(TH!N1037,2)="15",LEFT(TH!O1037,2)="15"),'152-CT'!$J$8=TH!F1037),"x","")</f>
        <v/>
      </c>
      <c r="AC1037" s="85" t="str">
        <f>IF(AND(OR(LEFT(TH!N1037,2)="15",LEFT(TH!O1037,2)="15"),TK!$E$7=TH!F1037),"x","")</f>
        <v/>
      </c>
      <c r="AD1037" s="85" t="str">
        <f>IF(AND(N1037="1521",MONTH(C1037)='BK-NL'!$M$11),"x","")</f>
        <v/>
      </c>
    </row>
    <row r="1038" spans="1:30" ht="15.75" customHeight="1">
      <c r="A1038" s="342" t="str">
        <f>IF(B1038&lt;&gt;"",IF(AND(B1038='IN-TC'!$S$4,OR(TH!N1038="1111",TH!O1038="1111")),TH!D1038,""),"")</f>
        <v/>
      </c>
      <c r="B1038" s="63">
        <f t="shared" si="128"/>
        <v>5</v>
      </c>
      <c r="C1038" s="64">
        <f t="shared" si="138"/>
        <v>42502</v>
      </c>
      <c r="D1038" s="320" t="s">
        <v>708</v>
      </c>
      <c r="E1038" s="64">
        <v>42502</v>
      </c>
      <c r="F1038" s="67" t="s">
        <v>1211</v>
      </c>
      <c r="G1038" s="995" t="s">
        <v>929</v>
      </c>
      <c r="H1038" s="7" t="s">
        <v>729</v>
      </c>
      <c r="I1038" s="446"/>
      <c r="J1038" s="446"/>
      <c r="K1038" s="437"/>
      <c r="L1038" s="446"/>
      <c r="M1038" s="65">
        <v>2408699</v>
      </c>
      <c r="N1038" s="66" t="s">
        <v>99</v>
      </c>
      <c r="O1038" s="66" t="s">
        <v>26</v>
      </c>
      <c r="P1038" s="85" t="str">
        <f>IF(AND('331-CT'!$E$7=TH!H1038,OR(N1038="331",O1038="331")),"x","")</f>
        <v/>
      </c>
      <c r="Q1038" s="85" t="str">
        <f>IF(AND(B1038='111'!$L$11,OR($N1038=$Q$7,$O1038=$Q$7)),"x","")</f>
        <v/>
      </c>
      <c r="R1038" s="85" t="str">
        <f>IF(AND($N1038=$Q$7,$B1038&lt;'111'!$L$11),"x","")</f>
        <v/>
      </c>
      <c r="S1038" s="85" t="str">
        <f>IF(AND($O1038=$Q$7,$B1038&lt;'111'!$L$11),"x","")</f>
        <v/>
      </c>
      <c r="T1038" s="85" t="str">
        <f>IF(ISERROR(FIND('112'!$M$9,G1038,1)),"",IF((AND(FIND('112'!$M$9,G1038,1)&gt;=1,B1038='112'!$K$9,OR($N1038='112'!$I$6,$O1038='112'!$I$6))),"x",""))</f>
        <v/>
      </c>
      <c r="U1038" s="85" t="str">
        <f>IF(ISERROR(FIND('112'!$M$9,G1038,1)),"",IF((AND(LEFT(G1038,2)=LEFT('112'!$M$9,2),B1038&lt;'112'!$K$9,$N1038='112'!$I$6)),"x",""))</f>
        <v/>
      </c>
      <c r="V1038" s="85" t="str">
        <f>IF(ISERROR(FIND('112'!$M$9,G1038,1)),"",IF((AND(RIGHT(G1038,2)=RIGHT('112'!$M$9,2),B1038&lt;'112'!$K$9,$O1038='112'!$I$6)),"x",""))</f>
        <v/>
      </c>
      <c r="W1038" s="85" t="str">
        <f>IF(AND('341-CT'!$H$9=H1038,OR(LEFT(N1038,3)=$W$7,LEFT(O1038,3)=$W$7)),"x","")</f>
        <v/>
      </c>
      <c r="X1038" s="85" t="str">
        <f>IF(OR(TH!N1038=TH!$X$7,O1038=TH!$X$7),"x","")</f>
        <v/>
      </c>
      <c r="Y1038" s="85" t="str">
        <f>IF(AND(OR(N1038="131",O1038="131"),H1038='131-CT'!$H$9),"x","")</f>
        <v/>
      </c>
      <c r="Z1038" s="85"/>
      <c r="AA1038" s="85" t="str">
        <f>IF(AND(MONTH(E1038)='IN-NX'!$J$5,'IN-NX'!$D$7=D1038),"x","")</f>
        <v/>
      </c>
      <c r="AB1038" s="85" t="str">
        <f>IF(AND(OR(LEFT(TH!N1038,2)="15",LEFT(TH!O1038,2)="15"),'152-CT'!$J$8=TH!F1038),"x","")</f>
        <v/>
      </c>
      <c r="AC1038" s="85" t="str">
        <f>IF(AND(OR(LEFT(TH!N1038,2)="15",LEFT(TH!O1038,2)="15"),TK!$E$7=TH!F1038),"x","")</f>
        <v/>
      </c>
      <c r="AD1038" s="85" t="str">
        <f>IF(AND(N1038="1521",MONTH(C1038)='BK-NL'!$M$11),"x","")</f>
        <v/>
      </c>
    </row>
    <row r="1039" spans="1:30" ht="15.75" customHeight="1">
      <c r="A1039" s="342" t="str">
        <f>IF(B1039&lt;&gt;"",IF(AND(B1039='IN-TC'!$S$4,OR(TH!N1039="1111",TH!O1039="1111")),TH!D1039,""),"")</f>
        <v/>
      </c>
      <c r="B1039" s="63">
        <f t="shared" si="128"/>
        <v>5</v>
      </c>
      <c r="C1039" s="64">
        <f t="shared" si="138"/>
        <v>42502</v>
      </c>
      <c r="D1039" s="320" t="s">
        <v>708</v>
      </c>
      <c r="E1039" s="64">
        <v>42502</v>
      </c>
      <c r="F1039" s="67" t="s">
        <v>1211</v>
      </c>
      <c r="G1039" s="995" t="s">
        <v>929</v>
      </c>
      <c r="H1039" s="7" t="s">
        <v>728</v>
      </c>
      <c r="I1039" s="446"/>
      <c r="J1039" s="446"/>
      <c r="K1039" s="437"/>
      <c r="L1039" s="446"/>
      <c r="M1039" s="65">
        <v>1167265</v>
      </c>
      <c r="N1039" s="66" t="s">
        <v>99</v>
      </c>
      <c r="O1039" s="66" t="s">
        <v>26</v>
      </c>
      <c r="P1039" s="85" t="str">
        <f>IF(AND('331-CT'!$E$7=TH!H1039,OR(N1039="331",O1039="331")),"x","")</f>
        <v/>
      </c>
      <c r="Q1039" s="85" t="str">
        <f>IF(AND(B1039='111'!$L$11,OR($N1039=$Q$7,$O1039=$Q$7)),"x","")</f>
        <v/>
      </c>
      <c r="R1039" s="85" t="str">
        <f>IF(AND($N1039=$Q$7,$B1039&lt;'111'!$L$11),"x","")</f>
        <v/>
      </c>
      <c r="S1039" s="85" t="str">
        <f>IF(AND($O1039=$Q$7,$B1039&lt;'111'!$L$11),"x","")</f>
        <v/>
      </c>
      <c r="T1039" s="85" t="str">
        <f>IF(ISERROR(FIND('112'!$M$9,G1039,1)),"",IF((AND(FIND('112'!$M$9,G1039,1)&gt;=1,B1039='112'!$K$9,OR($N1039='112'!$I$6,$O1039='112'!$I$6))),"x",""))</f>
        <v/>
      </c>
      <c r="U1039" s="85" t="str">
        <f>IF(ISERROR(FIND('112'!$M$9,G1039,1)),"",IF((AND(LEFT(G1039,2)=LEFT('112'!$M$9,2),B1039&lt;'112'!$K$9,$N1039='112'!$I$6)),"x",""))</f>
        <v/>
      </c>
      <c r="V1039" s="85" t="str">
        <f>IF(ISERROR(FIND('112'!$M$9,G1039,1)),"",IF((AND(RIGHT(G1039,2)=RIGHT('112'!$M$9,2),B1039&lt;'112'!$K$9,$O1039='112'!$I$6)),"x",""))</f>
        <v/>
      </c>
      <c r="W1039" s="85" t="str">
        <f>IF(AND('341-CT'!$H$9=H1039,OR(LEFT(N1039,3)=$W$7,LEFT(O1039,3)=$W$7)),"x","")</f>
        <v/>
      </c>
      <c r="X1039" s="85" t="str">
        <f>IF(OR(TH!N1039=TH!$X$7,O1039=TH!$X$7),"x","")</f>
        <v/>
      </c>
      <c r="Y1039" s="85" t="str">
        <f>IF(AND(OR(N1039="131",O1039="131"),H1039='131-CT'!$H$9),"x","")</f>
        <v/>
      </c>
      <c r="Z1039" s="85"/>
      <c r="AA1039" s="85" t="str">
        <f>IF(AND(MONTH(E1039)='IN-NX'!$J$5,'IN-NX'!$D$7=D1039),"x","")</f>
        <v/>
      </c>
      <c r="AB1039" s="85" t="str">
        <f>IF(AND(OR(LEFT(TH!N1039,2)="15",LEFT(TH!O1039,2)="15"),'152-CT'!$J$8=TH!F1039),"x","")</f>
        <v/>
      </c>
      <c r="AC1039" s="85" t="str">
        <f>IF(AND(OR(LEFT(TH!N1039,2)="15",LEFT(TH!O1039,2)="15"),TK!$E$7=TH!F1039),"x","")</f>
        <v/>
      </c>
      <c r="AD1039" s="85" t="str">
        <f>IF(AND(N1039="1521",MONTH(C1039)='BK-NL'!$M$11),"x","")</f>
        <v/>
      </c>
    </row>
    <row r="1040" spans="1:30" ht="15.75" customHeight="1">
      <c r="A1040" s="342" t="str">
        <f>IF(B1040&lt;&gt;"",IF(AND(B1040='IN-TC'!$S$4,OR(TH!N1040="1111",TH!O1040="1111")),TH!D1040,""),"")</f>
        <v/>
      </c>
      <c r="B1040" s="63">
        <f t="shared" si="128"/>
        <v>5</v>
      </c>
      <c r="C1040" s="64">
        <f t="shared" si="138"/>
        <v>42504</v>
      </c>
      <c r="D1040" s="320" t="s">
        <v>916</v>
      </c>
      <c r="E1040" s="64">
        <v>42504</v>
      </c>
      <c r="F1040" s="67" t="s">
        <v>1157</v>
      </c>
      <c r="G1040" s="995" t="s">
        <v>929</v>
      </c>
      <c r="H1040" s="74" t="s">
        <v>772</v>
      </c>
      <c r="I1040" s="446"/>
      <c r="J1040" s="446"/>
      <c r="K1040" s="437"/>
      <c r="L1040" s="446"/>
      <c r="M1040" s="65">
        <v>850000000</v>
      </c>
      <c r="N1040" s="66" t="s">
        <v>63</v>
      </c>
      <c r="O1040" s="66" t="s">
        <v>26</v>
      </c>
      <c r="P1040" s="85" t="str">
        <f>IF(AND('331-CT'!$E$7=TH!H1040,OR(N1040="331",O1040="331")),"x","")</f>
        <v/>
      </c>
      <c r="Q1040" s="85" t="str">
        <f>IF(AND(B1040='111'!$L$11,OR($N1040=$Q$7,$O1040=$Q$7)),"x","")</f>
        <v/>
      </c>
      <c r="R1040" s="85" t="str">
        <f>IF(AND($N1040=$Q$7,$B1040&lt;'111'!$L$11),"x","")</f>
        <v/>
      </c>
      <c r="S1040" s="85" t="str">
        <f>IF(AND($O1040=$Q$7,$B1040&lt;'111'!$L$11),"x","")</f>
        <v/>
      </c>
      <c r="T1040" s="85" t="str">
        <f>IF(ISERROR(FIND('112'!$M$9,G1040,1)),"",IF((AND(FIND('112'!$M$9,G1040,1)&gt;=1,B1040='112'!$K$9,OR($N1040='112'!$I$6,$O1040='112'!$I$6))),"x",""))</f>
        <v/>
      </c>
      <c r="U1040" s="85" t="str">
        <f>IF(ISERROR(FIND('112'!$M$9,G1040,1)),"",IF((AND(LEFT(G1040,2)=LEFT('112'!$M$9,2),B1040&lt;'112'!$K$9,$N1040='112'!$I$6)),"x",""))</f>
        <v/>
      </c>
      <c r="V1040" s="85" t="str">
        <f>IF(ISERROR(FIND('112'!$M$9,G1040,1)),"",IF((AND(RIGHT(G1040,2)=RIGHT('112'!$M$9,2),B1040&lt;'112'!$K$9,$O1040='112'!$I$6)),"x",""))</f>
        <v/>
      </c>
      <c r="W1040" s="85" t="str">
        <f>IF(AND('341-CT'!$H$9=H1040,OR(LEFT(N1040,3)=$W$7,LEFT(O1040,3)=$W$7)),"x","")</f>
        <v/>
      </c>
      <c r="X1040" s="85" t="str">
        <f>IF(OR(TH!N1040=TH!$X$7,O1040=TH!$X$7),"x","")</f>
        <v/>
      </c>
      <c r="Y1040" s="85" t="str">
        <f>IF(AND(OR(N1040="131",O1040="131"),H1040='131-CT'!$H$9),"x","")</f>
        <v/>
      </c>
      <c r="Z1040" s="85"/>
      <c r="AA1040" s="85" t="str">
        <f>IF(AND(MONTH(E1040)='IN-NX'!$J$5,'IN-NX'!$D$7=D1040),"x","")</f>
        <v/>
      </c>
      <c r="AB1040" s="85" t="str">
        <f>IF(AND(OR(LEFT(TH!N1040,2)="15",LEFT(TH!O1040,2)="15"),'152-CT'!$J$8=TH!F1040),"x","")</f>
        <v/>
      </c>
      <c r="AC1040" s="85" t="str">
        <f>IF(AND(OR(LEFT(TH!N1040,2)="15",LEFT(TH!O1040,2)="15"),TK!$E$7=TH!F1040),"x","")</f>
        <v/>
      </c>
      <c r="AD1040" s="85" t="str">
        <f>IF(AND(N1040="1521",MONTH(C1040)='BK-NL'!$M$11),"x","")</f>
        <v/>
      </c>
    </row>
    <row r="1041" spans="1:30" ht="15.75" customHeight="1">
      <c r="A1041" s="342" t="str">
        <f>IF(B1041&lt;&gt;"",IF(AND(B1041='IN-TC'!$S$4,OR(TH!N1041="1111",TH!O1041="1111")),TH!D1041,""),"")</f>
        <v/>
      </c>
      <c r="B1041" s="63">
        <f t="shared" si="125"/>
        <v>5</v>
      </c>
      <c r="C1041" s="64">
        <f t="shared" si="138"/>
        <v>42506</v>
      </c>
      <c r="D1041" s="320" t="s">
        <v>708</v>
      </c>
      <c r="E1041" s="64">
        <v>42506</v>
      </c>
      <c r="F1041" s="67" t="s">
        <v>1572</v>
      </c>
      <c r="G1041" s="995" t="s">
        <v>929</v>
      </c>
      <c r="H1041" s="77" t="s">
        <v>627</v>
      </c>
      <c r="I1041" s="446"/>
      <c r="J1041" s="446"/>
      <c r="K1041" s="437"/>
      <c r="L1041" s="446"/>
      <c r="M1041" s="65">
        <v>37808100</v>
      </c>
      <c r="N1041" s="66" t="s">
        <v>8</v>
      </c>
      <c r="O1041" s="66" t="s">
        <v>26</v>
      </c>
      <c r="P1041" s="85" t="str">
        <f>IF(AND('331-CT'!$E$7=TH!H1041,OR(N1041="331",O1041="331")),"x","")</f>
        <v/>
      </c>
      <c r="Q1041" s="85" t="str">
        <f>IF(AND(B1041='111'!$L$11,OR($N1041=$Q$7,$O1041=$Q$7)),"x","")</f>
        <v/>
      </c>
      <c r="R1041" s="85" t="str">
        <f>IF(AND($N1041=$Q$7,$B1041&lt;'111'!$L$11),"x","")</f>
        <v/>
      </c>
      <c r="S1041" s="85" t="str">
        <f>IF(AND($O1041=$Q$7,$B1041&lt;'111'!$L$11),"x","")</f>
        <v/>
      </c>
      <c r="T1041" s="85" t="str">
        <f>IF(ISERROR(FIND('112'!$M$9,G1041,1)),"",IF((AND(FIND('112'!$M$9,G1041,1)&gt;=1,B1041='112'!$K$9,OR($N1041='112'!$I$6,$O1041='112'!$I$6))),"x",""))</f>
        <v/>
      </c>
      <c r="U1041" s="85" t="str">
        <f>IF(ISERROR(FIND('112'!$M$9,G1041,1)),"",IF((AND(LEFT(G1041,2)=LEFT('112'!$M$9,2),B1041&lt;'112'!$K$9,$N1041='112'!$I$6)),"x",""))</f>
        <v/>
      </c>
      <c r="V1041" s="85" t="str">
        <f>IF(ISERROR(FIND('112'!$M$9,G1041,1)),"",IF((AND(RIGHT(G1041,2)=RIGHT('112'!$M$9,2),B1041&lt;'112'!$K$9,$O1041='112'!$I$6)),"x",""))</f>
        <v/>
      </c>
      <c r="W1041" s="85" t="str">
        <f>IF(AND('341-CT'!$H$9=H1041,OR(LEFT(N1041,3)=$W$7,LEFT(O1041,3)=$W$7)),"x","")</f>
        <v/>
      </c>
      <c r="X1041" s="85" t="str">
        <f>IF(OR(TH!N1041=TH!$X$7,O1041=TH!$X$7),"x","")</f>
        <v/>
      </c>
      <c r="Y1041" s="85" t="str">
        <f>IF(AND(OR(N1041="131",O1041="131"),H1041='131-CT'!$H$9),"x","")</f>
        <v/>
      </c>
      <c r="Z1041" s="85"/>
      <c r="AA1041" s="85" t="str">
        <f>IF(AND(MONTH(E1041)='IN-NX'!$J$5,'IN-NX'!$D$7=D1041),"x","")</f>
        <v/>
      </c>
      <c r="AB1041" s="85" t="str">
        <f>IF(AND(OR(LEFT(TH!N1041,2)="15",LEFT(TH!O1041,2)="15"),'152-CT'!$J$8=TH!F1041),"x","")</f>
        <v/>
      </c>
      <c r="AC1041" s="85" t="str">
        <f>IF(AND(OR(LEFT(TH!N1041,2)="15",LEFT(TH!O1041,2)="15"),TK!$E$7=TH!F1041),"x","")</f>
        <v/>
      </c>
      <c r="AD1041" s="85" t="str">
        <f>IF(AND(N1041="1521",MONTH(C1041)='BK-NL'!$M$11),"x","")</f>
        <v/>
      </c>
    </row>
    <row r="1042" spans="1:30" ht="15.75" customHeight="1">
      <c r="A1042" s="342" t="str">
        <f>IF(B1042&lt;&gt;"",IF(AND(B1042='IN-TC'!$S$4,OR(TH!N1042="1111",TH!O1042="1111")),TH!D1042,""),"")</f>
        <v/>
      </c>
      <c r="B1042" s="63">
        <f t="shared" si="125"/>
        <v>5</v>
      </c>
      <c r="C1042" s="64">
        <f t="shared" si="138"/>
        <v>42506</v>
      </c>
      <c r="D1042" s="320" t="s">
        <v>708</v>
      </c>
      <c r="E1042" s="64">
        <v>42506</v>
      </c>
      <c r="F1042" s="67" t="s">
        <v>1214</v>
      </c>
      <c r="G1042" s="995" t="s">
        <v>929</v>
      </c>
      <c r="H1042" s="74"/>
      <c r="I1042" s="446"/>
      <c r="J1042" s="446"/>
      <c r="K1042" s="437"/>
      <c r="L1042" s="446"/>
      <c r="M1042" s="65">
        <v>25000</v>
      </c>
      <c r="N1042" s="66" t="s">
        <v>101</v>
      </c>
      <c r="O1042" s="66" t="s">
        <v>26</v>
      </c>
      <c r="P1042" s="85" t="str">
        <f>IF(AND('331-CT'!$E$7=TH!H1042,OR(N1042="331",O1042="331")),"x","")</f>
        <v/>
      </c>
      <c r="Q1042" s="85" t="str">
        <f>IF(AND(B1042='111'!$L$11,OR($N1042=$Q$7,$O1042=$Q$7)),"x","")</f>
        <v/>
      </c>
      <c r="R1042" s="85" t="str">
        <f>IF(AND($N1042=$Q$7,$B1042&lt;'111'!$L$11),"x","")</f>
        <v/>
      </c>
      <c r="S1042" s="85" t="str">
        <f>IF(AND($O1042=$Q$7,$B1042&lt;'111'!$L$11),"x","")</f>
        <v/>
      </c>
      <c r="T1042" s="85" t="str">
        <f>IF(ISERROR(FIND('112'!$M$9,G1042,1)),"",IF((AND(FIND('112'!$M$9,G1042,1)&gt;=1,B1042='112'!$K$9,OR($N1042='112'!$I$6,$O1042='112'!$I$6))),"x",""))</f>
        <v/>
      </c>
      <c r="U1042" s="85" t="str">
        <f>IF(ISERROR(FIND('112'!$M$9,G1042,1)),"",IF((AND(LEFT(G1042,2)=LEFT('112'!$M$9,2),B1042&lt;'112'!$K$9,$N1042='112'!$I$6)),"x",""))</f>
        <v/>
      </c>
      <c r="V1042" s="85" t="str">
        <f>IF(ISERROR(FIND('112'!$M$9,G1042,1)),"",IF((AND(RIGHT(G1042,2)=RIGHT('112'!$M$9,2),B1042&lt;'112'!$K$9,$O1042='112'!$I$6)),"x",""))</f>
        <v/>
      </c>
      <c r="W1042" s="85" t="str">
        <f>IF(AND('341-CT'!$H$9=H1042,OR(LEFT(N1042,3)=$W$7,LEFT(O1042,3)=$W$7)),"x","")</f>
        <v/>
      </c>
      <c r="X1042" s="85" t="str">
        <f>IF(OR(TH!N1042=TH!$X$7,O1042=TH!$X$7),"x","")</f>
        <v/>
      </c>
      <c r="Y1042" s="85" t="str">
        <f>IF(AND(OR(N1042="131",O1042="131"),H1042='131-CT'!$H$9),"x","")</f>
        <v/>
      </c>
      <c r="Z1042" s="85"/>
      <c r="AA1042" s="85" t="str">
        <f>IF(AND(MONTH(E1042)='IN-NX'!$J$5,'IN-NX'!$D$7=D1042),"x","")</f>
        <v/>
      </c>
      <c r="AB1042" s="85" t="str">
        <f>IF(AND(OR(LEFT(TH!N1042,2)="15",LEFT(TH!O1042,2)="15"),'152-CT'!$J$8=TH!F1042),"x","")</f>
        <v/>
      </c>
      <c r="AC1042" s="85" t="str">
        <f>IF(AND(OR(LEFT(TH!N1042,2)="15",LEFT(TH!O1042,2)="15"),TK!$E$7=TH!F1042),"x","")</f>
        <v/>
      </c>
      <c r="AD1042" s="85" t="str">
        <f>IF(AND(N1042="1521",MONTH(C1042)='BK-NL'!$M$11),"x","")</f>
        <v/>
      </c>
    </row>
    <row r="1043" spans="1:30" ht="15.75" customHeight="1">
      <c r="A1043" s="342" t="str">
        <f>IF(B1043&lt;&gt;"",IF(AND(B1043='IN-TC'!$S$4,OR(TH!N1043="1111",TH!O1043="1111")),TH!D1043,""),"")</f>
        <v/>
      </c>
      <c r="B1043" s="63">
        <f t="shared" si="125"/>
        <v>5</v>
      </c>
      <c r="C1043" s="64">
        <f t="shared" si="138"/>
        <v>42506</v>
      </c>
      <c r="D1043" s="320" t="s">
        <v>708</v>
      </c>
      <c r="E1043" s="64">
        <v>42506</v>
      </c>
      <c r="F1043" s="67" t="s">
        <v>1215</v>
      </c>
      <c r="G1043" s="995" t="s">
        <v>929</v>
      </c>
      <c r="H1043" s="74"/>
      <c r="I1043" s="446"/>
      <c r="J1043" s="446"/>
      <c r="K1043" s="437"/>
      <c r="L1043" s="446"/>
      <c r="M1043" s="65">
        <v>2500</v>
      </c>
      <c r="N1043" s="66" t="s">
        <v>9</v>
      </c>
      <c r="O1043" s="66" t="s">
        <v>26</v>
      </c>
      <c r="P1043" s="85" t="str">
        <f>IF(AND('331-CT'!$E$7=TH!H1043,OR(N1043="331",O1043="331")),"x","")</f>
        <v/>
      </c>
      <c r="Q1043" s="85" t="str">
        <f>IF(AND(B1043='111'!$L$11,OR($N1043=$Q$7,$O1043=$Q$7)),"x","")</f>
        <v/>
      </c>
      <c r="R1043" s="85" t="str">
        <f>IF(AND($N1043=$Q$7,$B1043&lt;'111'!$L$11),"x","")</f>
        <v/>
      </c>
      <c r="S1043" s="85" t="str">
        <f>IF(AND($O1043=$Q$7,$B1043&lt;'111'!$L$11),"x","")</f>
        <v/>
      </c>
      <c r="T1043" s="85" t="str">
        <f>IF(ISERROR(FIND('112'!$M$9,G1043,1)),"",IF((AND(FIND('112'!$M$9,G1043,1)&gt;=1,B1043='112'!$K$9,OR($N1043='112'!$I$6,$O1043='112'!$I$6))),"x",""))</f>
        <v/>
      </c>
      <c r="U1043" s="85" t="str">
        <f>IF(ISERROR(FIND('112'!$M$9,G1043,1)),"",IF((AND(LEFT(G1043,2)=LEFT('112'!$M$9,2),B1043&lt;'112'!$K$9,$N1043='112'!$I$6)),"x",""))</f>
        <v/>
      </c>
      <c r="V1043" s="85" t="str">
        <f>IF(ISERROR(FIND('112'!$M$9,G1043,1)),"",IF((AND(RIGHT(G1043,2)=RIGHT('112'!$M$9,2),B1043&lt;'112'!$K$9,$O1043='112'!$I$6)),"x",""))</f>
        <v/>
      </c>
      <c r="W1043" s="85" t="str">
        <f>IF(AND('341-CT'!$H$9=H1043,OR(LEFT(N1043,3)=$W$7,LEFT(O1043,3)=$W$7)),"x","")</f>
        <v/>
      </c>
      <c r="X1043" s="85" t="str">
        <f>IF(OR(TH!N1043=TH!$X$7,O1043=TH!$X$7),"x","")</f>
        <v/>
      </c>
      <c r="Y1043" s="85" t="str">
        <f>IF(AND(OR(N1043="131",O1043="131"),H1043='131-CT'!$H$9),"x","")</f>
        <v/>
      </c>
      <c r="Z1043" s="85"/>
      <c r="AA1043" s="85" t="str">
        <f>IF(AND(MONTH(E1043)='IN-NX'!$J$5,'IN-NX'!$D$7=D1043),"x","")</f>
        <v/>
      </c>
      <c r="AB1043" s="85" t="str">
        <f>IF(AND(OR(LEFT(TH!N1043,2)="15",LEFT(TH!O1043,2)="15"),'152-CT'!$J$8=TH!F1043),"x","")</f>
        <v/>
      </c>
      <c r="AC1043" s="85" t="str">
        <f>IF(AND(OR(LEFT(TH!N1043,2)="15",LEFT(TH!O1043,2)="15"),TK!$E$7=TH!F1043),"x","")</f>
        <v/>
      </c>
      <c r="AD1043" s="85" t="str">
        <f>IF(AND(N1043="1521",MONTH(C1043)='BK-NL'!$M$11),"x","")</f>
        <v/>
      </c>
    </row>
    <row r="1044" spans="1:30" ht="15.75" customHeight="1">
      <c r="A1044" s="342" t="str">
        <f>IF(B1044&lt;&gt;"",IF(AND(B1044='IN-TC'!$S$4,OR(TH!N1044="1111",TH!O1044="1111")),TH!D1044,""),"")</f>
        <v/>
      </c>
      <c r="B1044" s="63">
        <f t="shared" si="125"/>
        <v>5</v>
      </c>
      <c r="C1044" s="64">
        <f t="shared" si="138"/>
        <v>42507</v>
      </c>
      <c r="D1044" s="320" t="s">
        <v>708</v>
      </c>
      <c r="E1044" s="64">
        <v>42507</v>
      </c>
      <c r="F1044" s="67" t="s">
        <v>1573</v>
      </c>
      <c r="G1044" s="995" t="s">
        <v>929</v>
      </c>
      <c r="H1044" s="74" t="s">
        <v>635</v>
      </c>
      <c r="I1044" s="446"/>
      <c r="J1044" s="446"/>
      <c r="K1044" s="437"/>
      <c r="L1044" s="446"/>
      <c r="M1044" s="65">
        <v>26783680</v>
      </c>
      <c r="N1044" s="66" t="s">
        <v>8</v>
      </c>
      <c r="O1044" s="66" t="s">
        <v>26</v>
      </c>
      <c r="P1044" s="85" t="str">
        <f>IF(AND('331-CT'!$E$7=TH!H1044,OR(N1044="331",O1044="331")),"x","")</f>
        <v/>
      </c>
      <c r="Q1044" s="85" t="str">
        <f>IF(AND(B1044='111'!$L$11,OR($N1044=$Q$7,$O1044=$Q$7)),"x","")</f>
        <v/>
      </c>
      <c r="R1044" s="85" t="str">
        <f>IF(AND($N1044=$Q$7,$B1044&lt;'111'!$L$11),"x","")</f>
        <v/>
      </c>
      <c r="S1044" s="85" t="str">
        <f>IF(AND($O1044=$Q$7,$B1044&lt;'111'!$L$11),"x","")</f>
        <v/>
      </c>
      <c r="T1044" s="85" t="str">
        <f>IF(ISERROR(FIND('112'!$M$9,G1044,1)),"",IF((AND(FIND('112'!$M$9,G1044,1)&gt;=1,B1044='112'!$K$9,OR($N1044='112'!$I$6,$O1044='112'!$I$6))),"x",""))</f>
        <v/>
      </c>
      <c r="U1044" s="85" t="str">
        <f>IF(ISERROR(FIND('112'!$M$9,G1044,1)),"",IF((AND(LEFT(G1044,2)=LEFT('112'!$M$9,2),B1044&lt;'112'!$K$9,$N1044='112'!$I$6)),"x",""))</f>
        <v/>
      </c>
      <c r="V1044" s="85" t="str">
        <f>IF(ISERROR(FIND('112'!$M$9,G1044,1)),"",IF((AND(RIGHT(G1044,2)=RIGHT('112'!$M$9,2),B1044&lt;'112'!$K$9,$O1044='112'!$I$6)),"x",""))</f>
        <v/>
      </c>
      <c r="W1044" s="85" t="str">
        <f>IF(AND('341-CT'!$H$9=H1044,OR(LEFT(N1044,3)=$W$7,LEFT(O1044,3)=$W$7)),"x","")</f>
        <v/>
      </c>
      <c r="X1044" s="85" t="str">
        <f>IF(OR(TH!N1044=TH!$X$7,O1044=TH!$X$7),"x","")</f>
        <v/>
      </c>
      <c r="Y1044" s="85" t="str">
        <f>IF(AND(OR(N1044="131",O1044="131"),H1044='131-CT'!$H$9),"x","")</f>
        <v/>
      </c>
      <c r="Z1044" s="85"/>
      <c r="AA1044" s="85" t="str">
        <f>IF(AND(MONTH(E1044)='IN-NX'!$J$5,'IN-NX'!$D$7=D1044),"x","")</f>
        <v/>
      </c>
      <c r="AB1044" s="85" t="str">
        <f>IF(AND(OR(LEFT(TH!N1044,2)="15",LEFT(TH!O1044,2)="15"),'152-CT'!$J$8=TH!F1044),"x","")</f>
        <v/>
      </c>
      <c r="AC1044" s="85" t="str">
        <f>IF(AND(OR(LEFT(TH!N1044,2)="15",LEFT(TH!O1044,2)="15"),TK!$E$7=TH!F1044),"x","")</f>
        <v/>
      </c>
      <c r="AD1044" s="85" t="str">
        <f>IF(AND(N1044="1521",MONTH(C1044)='BK-NL'!$M$11),"x","")</f>
        <v/>
      </c>
    </row>
    <row r="1045" spans="1:30" ht="15.75" customHeight="1">
      <c r="A1045" s="342" t="str">
        <f>IF(B1045&lt;&gt;"",IF(AND(B1045='IN-TC'!$S$4,OR(TH!N1045="1111",TH!O1045="1111")),TH!D1045,""),"")</f>
        <v/>
      </c>
      <c r="B1045" s="63">
        <f t="shared" si="125"/>
        <v>5</v>
      </c>
      <c r="C1045" s="64">
        <f t="shared" si="138"/>
        <v>42507</v>
      </c>
      <c r="D1045" s="320" t="s">
        <v>708</v>
      </c>
      <c r="E1045" s="64">
        <v>42507</v>
      </c>
      <c r="F1045" s="67" t="s">
        <v>1214</v>
      </c>
      <c r="G1045" s="995" t="s">
        <v>929</v>
      </c>
      <c r="H1045" s="74"/>
      <c r="I1045" s="446"/>
      <c r="J1045" s="446"/>
      <c r="K1045" s="437"/>
      <c r="L1045" s="446"/>
      <c r="M1045" s="65">
        <v>25000</v>
      </c>
      <c r="N1045" s="66" t="s">
        <v>101</v>
      </c>
      <c r="O1045" s="66" t="s">
        <v>26</v>
      </c>
      <c r="P1045" s="85" t="str">
        <f>IF(AND('331-CT'!$E$7=TH!H1045,OR(N1045="331",O1045="331")),"x","")</f>
        <v/>
      </c>
      <c r="Q1045" s="85" t="str">
        <f>IF(AND(B1045='111'!$L$11,OR($N1045=$Q$7,$O1045=$Q$7)),"x","")</f>
        <v/>
      </c>
      <c r="R1045" s="85" t="str">
        <f>IF(AND($N1045=$Q$7,$B1045&lt;'111'!$L$11),"x","")</f>
        <v/>
      </c>
      <c r="S1045" s="85" t="str">
        <f>IF(AND($O1045=$Q$7,$B1045&lt;'111'!$L$11),"x","")</f>
        <v/>
      </c>
      <c r="T1045" s="85" t="str">
        <f>IF(ISERROR(FIND('112'!$M$9,G1045,1)),"",IF((AND(FIND('112'!$M$9,G1045,1)&gt;=1,B1045='112'!$K$9,OR($N1045='112'!$I$6,$O1045='112'!$I$6))),"x",""))</f>
        <v/>
      </c>
      <c r="U1045" s="85" t="str">
        <f>IF(ISERROR(FIND('112'!$M$9,G1045,1)),"",IF((AND(LEFT(G1045,2)=LEFT('112'!$M$9,2),B1045&lt;'112'!$K$9,$N1045='112'!$I$6)),"x",""))</f>
        <v/>
      </c>
      <c r="V1045" s="85" t="str">
        <f>IF(ISERROR(FIND('112'!$M$9,G1045,1)),"",IF((AND(RIGHT(G1045,2)=RIGHT('112'!$M$9,2),B1045&lt;'112'!$K$9,$O1045='112'!$I$6)),"x",""))</f>
        <v/>
      </c>
      <c r="W1045" s="85" t="str">
        <f>IF(AND('341-CT'!$H$9=H1045,OR(LEFT(N1045,3)=$W$7,LEFT(O1045,3)=$W$7)),"x","")</f>
        <v/>
      </c>
      <c r="X1045" s="85" t="str">
        <f>IF(OR(TH!N1045=TH!$X$7,O1045=TH!$X$7),"x","")</f>
        <v/>
      </c>
      <c r="Y1045" s="85" t="str">
        <f>IF(AND(OR(N1045="131",O1045="131"),H1045='131-CT'!$H$9),"x","")</f>
        <v/>
      </c>
      <c r="Z1045" s="85"/>
      <c r="AA1045" s="85" t="str">
        <f>IF(AND(MONTH(E1045)='IN-NX'!$J$5,'IN-NX'!$D$7=D1045),"x","")</f>
        <v/>
      </c>
      <c r="AB1045" s="85" t="str">
        <f>IF(AND(OR(LEFT(TH!N1045,2)="15",LEFT(TH!O1045,2)="15"),'152-CT'!$J$8=TH!F1045),"x","")</f>
        <v/>
      </c>
      <c r="AC1045" s="85" t="str">
        <f>IF(AND(OR(LEFT(TH!N1045,2)="15",LEFT(TH!O1045,2)="15"),TK!$E$7=TH!F1045),"x","")</f>
        <v/>
      </c>
      <c r="AD1045" s="85" t="str">
        <f>IF(AND(N1045="1521",MONTH(C1045)='BK-NL'!$M$11),"x","")</f>
        <v/>
      </c>
    </row>
    <row r="1046" spans="1:30" ht="15.75" customHeight="1">
      <c r="A1046" s="342" t="str">
        <f>IF(B1046&lt;&gt;"",IF(AND(B1046='IN-TC'!$S$4,OR(TH!N1046="1111",TH!O1046="1111")),TH!D1046,""),"")</f>
        <v/>
      </c>
      <c r="B1046" s="63">
        <f t="shared" si="125"/>
        <v>5</v>
      </c>
      <c r="C1046" s="64">
        <f t="shared" si="138"/>
        <v>42507</v>
      </c>
      <c r="D1046" s="320" t="s">
        <v>708</v>
      </c>
      <c r="E1046" s="64">
        <v>42507</v>
      </c>
      <c r="F1046" s="67" t="s">
        <v>1215</v>
      </c>
      <c r="G1046" s="995" t="s">
        <v>929</v>
      </c>
      <c r="H1046" s="74"/>
      <c r="I1046" s="446"/>
      <c r="J1046" s="446"/>
      <c r="K1046" s="437"/>
      <c r="L1046" s="446"/>
      <c r="M1046" s="65">
        <v>2500</v>
      </c>
      <c r="N1046" s="66" t="s">
        <v>9</v>
      </c>
      <c r="O1046" s="66" t="s">
        <v>26</v>
      </c>
      <c r="P1046" s="85" t="str">
        <f>IF(AND('331-CT'!$E$7=TH!H1046,OR(N1046="331",O1046="331")),"x","")</f>
        <v/>
      </c>
      <c r="Q1046" s="85" t="str">
        <f>IF(AND(B1046='111'!$L$11,OR($N1046=$Q$7,$O1046=$Q$7)),"x","")</f>
        <v/>
      </c>
      <c r="R1046" s="85" t="str">
        <f>IF(AND($N1046=$Q$7,$B1046&lt;'111'!$L$11),"x","")</f>
        <v/>
      </c>
      <c r="S1046" s="85" t="str">
        <f>IF(AND($O1046=$Q$7,$B1046&lt;'111'!$L$11),"x","")</f>
        <v/>
      </c>
      <c r="T1046" s="85" t="str">
        <f>IF(ISERROR(FIND('112'!$M$9,G1046,1)),"",IF((AND(FIND('112'!$M$9,G1046,1)&gt;=1,B1046='112'!$K$9,OR($N1046='112'!$I$6,$O1046='112'!$I$6))),"x",""))</f>
        <v/>
      </c>
      <c r="U1046" s="85" t="str">
        <f>IF(ISERROR(FIND('112'!$M$9,G1046,1)),"",IF((AND(LEFT(G1046,2)=LEFT('112'!$M$9,2),B1046&lt;'112'!$K$9,$N1046='112'!$I$6)),"x",""))</f>
        <v/>
      </c>
      <c r="V1046" s="85" t="str">
        <f>IF(ISERROR(FIND('112'!$M$9,G1046,1)),"",IF((AND(RIGHT(G1046,2)=RIGHT('112'!$M$9,2),B1046&lt;'112'!$K$9,$O1046='112'!$I$6)),"x",""))</f>
        <v/>
      </c>
      <c r="W1046" s="85" t="str">
        <f>IF(AND('341-CT'!$H$9=H1046,OR(LEFT(N1046,3)=$W$7,LEFT(O1046,3)=$W$7)),"x","")</f>
        <v/>
      </c>
      <c r="X1046" s="85" t="str">
        <f>IF(OR(TH!N1046=TH!$X$7,O1046=TH!$X$7),"x","")</f>
        <v/>
      </c>
      <c r="Y1046" s="85" t="str">
        <f>IF(AND(OR(N1046="131",O1046="131"),H1046='131-CT'!$H$9),"x","")</f>
        <v/>
      </c>
      <c r="Z1046" s="85"/>
      <c r="AA1046" s="85" t="str">
        <f>IF(AND(MONTH(E1046)='IN-NX'!$J$5,'IN-NX'!$D$7=D1046),"x","")</f>
        <v/>
      </c>
      <c r="AB1046" s="85" t="str">
        <f>IF(AND(OR(LEFT(TH!N1046,2)="15",LEFT(TH!O1046,2)="15"),'152-CT'!$J$8=TH!F1046),"x","")</f>
        <v/>
      </c>
      <c r="AC1046" s="85" t="str">
        <f>IF(AND(OR(LEFT(TH!N1046,2)="15",LEFT(TH!O1046,2)="15"),TK!$E$7=TH!F1046),"x","")</f>
        <v/>
      </c>
      <c r="AD1046" s="85" t="str">
        <f>IF(AND(N1046="1521",MONTH(C1046)='BK-NL'!$M$11),"x","")</f>
        <v/>
      </c>
    </row>
    <row r="1047" spans="1:30" ht="15.75" customHeight="1">
      <c r="A1047" s="342" t="str">
        <f>IF(B1047&lt;&gt;"",IF(AND(B1047='IN-TC'!$S$4,OR(TH!N1047="1111",TH!O1047="1111")),TH!D1047,""),"")</f>
        <v/>
      </c>
      <c r="B1047" s="63">
        <f t="shared" si="125"/>
        <v>5</v>
      </c>
      <c r="C1047" s="64">
        <f t="shared" si="138"/>
        <v>42508</v>
      </c>
      <c r="D1047" s="320" t="s">
        <v>708</v>
      </c>
      <c r="E1047" s="64">
        <v>42508</v>
      </c>
      <c r="F1047" s="67" t="s">
        <v>1211</v>
      </c>
      <c r="G1047" s="995" t="s">
        <v>929</v>
      </c>
      <c r="H1047" s="7" t="s">
        <v>733</v>
      </c>
      <c r="I1047" s="446"/>
      <c r="J1047" s="446"/>
      <c r="K1047" s="437"/>
      <c r="L1047" s="446"/>
      <c r="M1047" s="65">
        <v>6661709</v>
      </c>
      <c r="N1047" s="66" t="s">
        <v>99</v>
      </c>
      <c r="O1047" s="66" t="s">
        <v>26</v>
      </c>
      <c r="P1047" s="85" t="str">
        <f>IF(AND('331-CT'!$E$7=TH!H1047,OR(N1047="331",O1047="331")),"x","")</f>
        <v/>
      </c>
      <c r="Q1047" s="85" t="str">
        <f>IF(AND(B1047='111'!$L$11,OR($N1047=$Q$7,$O1047=$Q$7)),"x","")</f>
        <v/>
      </c>
      <c r="R1047" s="85" t="str">
        <f>IF(AND($N1047=$Q$7,$B1047&lt;'111'!$L$11),"x","")</f>
        <v/>
      </c>
      <c r="S1047" s="85" t="str">
        <f>IF(AND($O1047=$Q$7,$B1047&lt;'111'!$L$11),"x","")</f>
        <v/>
      </c>
      <c r="T1047" s="85" t="str">
        <f>IF(ISERROR(FIND('112'!$M$9,G1047,1)),"",IF((AND(FIND('112'!$M$9,G1047,1)&gt;=1,B1047='112'!$K$9,OR($N1047='112'!$I$6,$O1047='112'!$I$6))),"x",""))</f>
        <v/>
      </c>
      <c r="U1047" s="85" t="str">
        <f>IF(ISERROR(FIND('112'!$M$9,G1047,1)),"",IF((AND(LEFT(G1047,2)=LEFT('112'!$M$9,2),B1047&lt;'112'!$K$9,$N1047='112'!$I$6)),"x",""))</f>
        <v/>
      </c>
      <c r="V1047" s="85" t="str">
        <f>IF(ISERROR(FIND('112'!$M$9,G1047,1)),"",IF((AND(RIGHT(G1047,2)=RIGHT('112'!$M$9,2),B1047&lt;'112'!$K$9,$O1047='112'!$I$6)),"x",""))</f>
        <v/>
      </c>
      <c r="W1047" s="85" t="str">
        <f>IF(AND('341-CT'!$H$9=H1047,OR(LEFT(N1047,3)=$W$7,LEFT(O1047,3)=$W$7)),"x","")</f>
        <v/>
      </c>
      <c r="X1047" s="85" t="str">
        <f>IF(OR(TH!N1047=TH!$X$7,O1047=TH!$X$7),"x","")</f>
        <v/>
      </c>
      <c r="Y1047" s="85" t="str">
        <f>IF(AND(OR(N1047="131",O1047="131"),H1047='131-CT'!$H$9),"x","")</f>
        <v/>
      </c>
      <c r="Z1047" s="85"/>
      <c r="AA1047" s="85" t="str">
        <f>IF(AND(MONTH(E1047)='IN-NX'!$J$5,'IN-NX'!$D$7=D1047),"x","")</f>
        <v/>
      </c>
      <c r="AB1047" s="85" t="str">
        <f>IF(AND(OR(LEFT(TH!N1047,2)="15",LEFT(TH!O1047,2)="15"),'152-CT'!$J$8=TH!F1047),"x","")</f>
        <v/>
      </c>
      <c r="AC1047" s="85" t="str">
        <f>IF(AND(OR(LEFT(TH!N1047,2)="15",LEFT(TH!O1047,2)="15"),TK!$E$7=TH!F1047),"x","")</f>
        <v/>
      </c>
      <c r="AD1047" s="85" t="str">
        <f>IF(AND(N1047="1521",MONTH(C1047)='BK-NL'!$M$11),"x","")</f>
        <v/>
      </c>
    </row>
    <row r="1048" spans="1:30" ht="15.75" customHeight="1">
      <c r="A1048" s="342" t="str">
        <f>IF(B1048&lt;&gt;"",IF(AND(B1048='IN-TC'!$S$4,OR(TH!N1048="1111",TH!O1048="1111")),TH!D1048,""),"")</f>
        <v/>
      </c>
      <c r="B1048" s="63">
        <f t="shared" si="125"/>
        <v>5</v>
      </c>
      <c r="C1048" s="64">
        <f t="shared" si="138"/>
        <v>42508</v>
      </c>
      <c r="D1048" s="320" t="s">
        <v>708</v>
      </c>
      <c r="E1048" s="64">
        <v>42508</v>
      </c>
      <c r="F1048" s="67" t="s">
        <v>1211</v>
      </c>
      <c r="G1048" s="995" t="s">
        <v>929</v>
      </c>
      <c r="H1048" s="7" t="s">
        <v>734</v>
      </c>
      <c r="I1048" s="446"/>
      <c r="J1048" s="446"/>
      <c r="K1048" s="437"/>
      <c r="L1048" s="446"/>
      <c r="M1048" s="65">
        <v>6624641</v>
      </c>
      <c r="N1048" s="66" t="s">
        <v>99</v>
      </c>
      <c r="O1048" s="66" t="s">
        <v>26</v>
      </c>
      <c r="P1048" s="85" t="str">
        <f>IF(AND('331-CT'!$E$7=TH!H1048,OR(N1048="331",O1048="331")),"x","")</f>
        <v/>
      </c>
      <c r="Q1048" s="85" t="str">
        <f>IF(AND(B1048='111'!$L$11,OR($N1048=$Q$7,$O1048=$Q$7)),"x","")</f>
        <v/>
      </c>
      <c r="R1048" s="85" t="str">
        <f>IF(AND($N1048=$Q$7,$B1048&lt;'111'!$L$11),"x","")</f>
        <v/>
      </c>
      <c r="S1048" s="85" t="str">
        <f>IF(AND($O1048=$Q$7,$B1048&lt;'111'!$L$11),"x","")</f>
        <v/>
      </c>
      <c r="T1048" s="85" t="str">
        <f>IF(ISERROR(FIND('112'!$M$9,G1048,1)),"",IF((AND(FIND('112'!$M$9,G1048,1)&gt;=1,B1048='112'!$K$9,OR($N1048='112'!$I$6,$O1048='112'!$I$6))),"x",""))</f>
        <v/>
      </c>
      <c r="U1048" s="85" t="str">
        <f>IF(ISERROR(FIND('112'!$M$9,G1048,1)),"",IF((AND(LEFT(G1048,2)=LEFT('112'!$M$9,2),B1048&lt;'112'!$K$9,$N1048='112'!$I$6)),"x",""))</f>
        <v/>
      </c>
      <c r="V1048" s="85" t="str">
        <f>IF(ISERROR(FIND('112'!$M$9,G1048,1)),"",IF((AND(RIGHT(G1048,2)=RIGHT('112'!$M$9,2),B1048&lt;'112'!$K$9,$O1048='112'!$I$6)),"x",""))</f>
        <v/>
      </c>
      <c r="W1048" s="85" t="str">
        <f>IF(AND('341-CT'!$H$9=H1048,OR(LEFT(N1048,3)=$W$7,LEFT(O1048,3)=$W$7)),"x","")</f>
        <v/>
      </c>
      <c r="X1048" s="85" t="str">
        <f>IF(OR(TH!N1048=TH!$X$7,O1048=TH!$X$7),"x","")</f>
        <v/>
      </c>
      <c r="Y1048" s="85" t="str">
        <f>IF(AND(OR(N1048="131",O1048="131"),H1048='131-CT'!$H$9),"x","")</f>
        <v/>
      </c>
      <c r="Z1048" s="85"/>
      <c r="AA1048" s="85" t="str">
        <f>IF(AND(MONTH(E1048)='IN-NX'!$J$5,'IN-NX'!$D$7=D1048),"x","")</f>
        <v/>
      </c>
      <c r="AB1048" s="85" t="str">
        <f>IF(AND(OR(LEFT(TH!N1048,2)="15",LEFT(TH!O1048,2)="15"),'152-CT'!$J$8=TH!F1048),"x","")</f>
        <v/>
      </c>
      <c r="AC1048" s="85" t="str">
        <f>IF(AND(OR(LEFT(TH!N1048,2)="15",LEFT(TH!O1048,2)="15"),TK!$E$7=TH!F1048),"x","")</f>
        <v/>
      </c>
      <c r="AD1048" s="85" t="str">
        <f>IF(AND(N1048="1521",MONTH(C1048)='BK-NL'!$M$11),"x","")</f>
        <v/>
      </c>
    </row>
    <row r="1049" spans="1:30" ht="15.75" customHeight="1">
      <c r="A1049" s="342" t="str">
        <f>IF(B1049&lt;&gt;"",IF(AND(B1049='IN-TC'!$S$4,OR(TH!N1049="1111",TH!O1049="1111")),TH!D1049,""),"")</f>
        <v/>
      </c>
      <c r="B1049" s="63">
        <f t="shared" si="125"/>
        <v>5</v>
      </c>
      <c r="C1049" s="64">
        <f t="shared" si="138"/>
        <v>42508</v>
      </c>
      <c r="D1049" s="320" t="s">
        <v>708</v>
      </c>
      <c r="E1049" s="64">
        <v>42508</v>
      </c>
      <c r="F1049" s="67" t="s">
        <v>1211</v>
      </c>
      <c r="G1049" s="995" t="s">
        <v>929</v>
      </c>
      <c r="H1049" s="7" t="s">
        <v>741</v>
      </c>
      <c r="I1049" s="446"/>
      <c r="J1049" s="446"/>
      <c r="K1049" s="437"/>
      <c r="L1049" s="446"/>
      <c r="M1049" s="65">
        <v>4540359</v>
      </c>
      <c r="N1049" s="66" t="s">
        <v>99</v>
      </c>
      <c r="O1049" s="66" t="s">
        <v>26</v>
      </c>
      <c r="P1049" s="85" t="str">
        <f>IF(AND('331-CT'!$E$7=TH!H1049,OR(N1049="331",O1049="331")),"x","")</f>
        <v/>
      </c>
      <c r="Q1049" s="85" t="str">
        <f>IF(AND(B1049='111'!$L$11,OR($N1049=$Q$7,$O1049=$Q$7)),"x","")</f>
        <v/>
      </c>
      <c r="R1049" s="85" t="str">
        <f>IF(AND($N1049=$Q$7,$B1049&lt;'111'!$L$11),"x","")</f>
        <v/>
      </c>
      <c r="S1049" s="85" t="str">
        <f>IF(AND($O1049=$Q$7,$B1049&lt;'111'!$L$11),"x","")</f>
        <v/>
      </c>
      <c r="T1049" s="85" t="str">
        <f>IF(ISERROR(FIND('112'!$M$9,G1049,1)),"",IF((AND(FIND('112'!$M$9,G1049,1)&gt;=1,B1049='112'!$K$9,OR($N1049='112'!$I$6,$O1049='112'!$I$6))),"x",""))</f>
        <v/>
      </c>
      <c r="U1049" s="85" t="str">
        <f>IF(ISERROR(FIND('112'!$M$9,G1049,1)),"",IF((AND(LEFT(G1049,2)=LEFT('112'!$M$9,2),B1049&lt;'112'!$K$9,$N1049='112'!$I$6)),"x",""))</f>
        <v/>
      </c>
      <c r="V1049" s="85" t="str">
        <f>IF(ISERROR(FIND('112'!$M$9,G1049,1)),"",IF((AND(RIGHT(G1049,2)=RIGHT('112'!$M$9,2),B1049&lt;'112'!$K$9,$O1049='112'!$I$6)),"x",""))</f>
        <v/>
      </c>
      <c r="W1049" s="85" t="str">
        <f>IF(AND('341-CT'!$H$9=H1049,OR(LEFT(N1049,3)=$W$7,LEFT(O1049,3)=$W$7)),"x","")</f>
        <v/>
      </c>
      <c r="X1049" s="85" t="str">
        <f>IF(OR(TH!N1049=TH!$X$7,O1049=TH!$X$7),"x","")</f>
        <v/>
      </c>
      <c r="Y1049" s="85" t="str">
        <f>IF(AND(OR(N1049="131",O1049="131"),H1049='131-CT'!$H$9),"x","")</f>
        <v/>
      </c>
      <c r="Z1049" s="85"/>
      <c r="AA1049" s="85" t="str">
        <f>IF(AND(MONTH(E1049)='IN-NX'!$J$5,'IN-NX'!$D$7=D1049),"x","")</f>
        <v/>
      </c>
      <c r="AB1049" s="85" t="str">
        <f>IF(AND(OR(LEFT(TH!N1049,2)="15",LEFT(TH!O1049,2)="15"),'152-CT'!$J$8=TH!F1049),"x","")</f>
        <v/>
      </c>
      <c r="AC1049" s="85" t="str">
        <f>IF(AND(OR(LEFT(TH!N1049,2)="15",LEFT(TH!O1049,2)="15"),TK!$E$7=TH!F1049),"x","")</f>
        <v/>
      </c>
      <c r="AD1049" s="85" t="str">
        <f>IF(AND(N1049="1521",MONTH(C1049)='BK-NL'!$M$11),"x","")</f>
        <v/>
      </c>
    </row>
    <row r="1050" spans="1:30" ht="15.75" customHeight="1">
      <c r="A1050" s="342" t="str">
        <f>IF(B1050&lt;&gt;"",IF(AND(B1050='IN-TC'!$S$4,OR(TH!N1050="1111",TH!O1050="1111")),TH!D1050,""),"")</f>
        <v/>
      </c>
      <c r="B1050" s="63">
        <f t="shared" si="125"/>
        <v>5</v>
      </c>
      <c r="C1050" s="64">
        <f t="shared" si="138"/>
        <v>42508</v>
      </c>
      <c r="D1050" s="320" t="s">
        <v>708</v>
      </c>
      <c r="E1050" s="64">
        <v>42508</v>
      </c>
      <c r="F1050" s="67" t="s">
        <v>1211</v>
      </c>
      <c r="G1050" s="995" t="s">
        <v>929</v>
      </c>
      <c r="H1050" s="7" t="s">
        <v>735</v>
      </c>
      <c r="I1050" s="446"/>
      <c r="J1050" s="446"/>
      <c r="K1050" s="437"/>
      <c r="L1050" s="446"/>
      <c r="M1050" s="65">
        <v>6624641</v>
      </c>
      <c r="N1050" s="66" t="s">
        <v>99</v>
      </c>
      <c r="O1050" s="66" t="s">
        <v>26</v>
      </c>
      <c r="P1050" s="85" t="str">
        <f>IF(AND('331-CT'!$E$7=TH!H1050,OR(N1050="331",O1050="331")),"x","")</f>
        <v/>
      </c>
      <c r="Q1050" s="85" t="str">
        <f>IF(AND(B1050='111'!$L$11,OR($N1050=$Q$7,$O1050=$Q$7)),"x","")</f>
        <v/>
      </c>
      <c r="R1050" s="85" t="str">
        <f>IF(AND($N1050=$Q$7,$B1050&lt;'111'!$L$11),"x","")</f>
        <v/>
      </c>
      <c r="S1050" s="85" t="str">
        <f>IF(AND($O1050=$Q$7,$B1050&lt;'111'!$L$11),"x","")</f>
        <v/>
      </c>
      <c r="T1050" s="85" t="str">
        <f>IF(ISERROR(FIND('112'!$M$9,G1050,1)),"",IF((AND(FIND('112'!$M$9,G1050,1)&gt;=1,B1050='112'!$K$9,OR($N1050='112'!$I$6,$O1050='112'!$I$6))),"x",""))</f>
        <v/>
      </c>
      <c r="U1050" s="85" t="str">
        <f>IF(ISERROR(FIND('112'!$M$9,G1050,1)),"",IF((AND(LEFT(G1050,2)=LEFT('112'!$M$9,2),B1050&lt;'112'!$K$9,$N1050='112'!$I$6)),"x",""))</f>
        <v/>
      </c>
      <c r="V1050" s="85" t="str">
        <f>IF(ISERROR(FIND('112'!$M$9,G1050,1)),"",IF((AND(RIGHT(G1050,2)=RIGHT('112'!$M$9,2),B1050&lt;'112'!$K$9,$O1050='112'!$I$6)),"x",""))</f>
        <v/>
      </c>
      <c r="W1050" s="85" t="str">
        <f>IF(AND('341-CT'!$H$9=H1050,OR(LEFT(N1050,3)=$W$7,LEFT(O1050,3)=$W$7)),"x","")</f>
        <v/>
      </c>
      <c r="X1050" s="85" t="str">
        <f>IF(OR(TH!N1050=TH!$X$7,O1050=TH!$X$7),"x","")</f>
        <v/>
      </c>
      <c r="Y1050" s="85" t="str">
        <f>IF(AND(OR(N1050="131",O1050="131"),H1050='131-CT'!$H$9),"x","")</f>
        <v/>
      </c>
      <c r="Z1050" s="85"/>
      <c r="AA1050" s="85" t="str">
        <f>IF(AND(MONTH(E1050)='IN-NX'!$J$5,'IN-NX'!$D$7=D1050),"x","")</f>
        <v/>
      </c>
      <c r="AB1050" s="85" t="str">
        <f>IF(AND(OR(LEFT(TH!N1050,2)="15",LEFT(TH!O1050,2)="15"),'152-CT'!$J$8=TH!F1050),"x","")</f>
        <v/>
      </c>
      <c r="AC1050" s="85" t="str">
        <f>IF(AND(OR(LEFT(TH!N1050,2)="15",LEFT(TH!O1050,2)="15"),TK!$E$7=TH!F1050),"x","")</f>
        <v/>
      </c>
      <c r="AD1050" s="85" t="str">
        <f>IF(AND(N1050="1521",MONTH(C1050)='BK-NL'!$M$11),"x","")</f>
        <v/>
      </c>
    </row>
    <row r="1051" spans="1:30" ht="15.75" customHeight="1">
      <c r="A1051" s="342" t="str">
        <f>IF(B1051&lt;&gt;"",IF(AND(B1051='IN-TC'!$S$4,OR(TH!N1051="1111",TH!O1051="1111")),TH!D1051,""),"")</f>
        <v/>
      </c>
      <c r="B1051" s="63">
        <f t="shared" si="125"/>
        <v>5</v>
      </c>
      <c r="C1051" s="64">
        <f t="shared" si="138"/>
        <v>42508</v>
      </c>
      <c r="D1051" s="320" t="s">
        <v>708</v>
      </c>
      <c r="E1051" s="64">
        <v>42508</v>
      </c>
      <c r="F1051" s="67" t="s">
        <v>1211</v>
      </c>
      <c r="G1051" s="995" t="s">
        <v>929</v>
      </c>
      <c r="H1051" s="7" t="s">
        <v>736</v>
      </c>
      <c r="I1051" s="446"/>
      <c r="J1051" s="446"/>
      <c r="K1051" s="437"/>
      <c r="L1051" s="446"/>
      <c r="M1051" s="65">
        <v>6550059</v>
      </c>
      <c r="N1051" s="66" t="s">
        <v>99</v>
      </c>
      <c r="O1051" s="66" t="s">
        <v>26</v>
      </c>
      <c r="P1051" s="85" t="str">
        <f>IF(AND('331-CT'!$E$7=TH!H1051,OR(N1051="331",O1051="331")),"x","")</f>
        <v/>
      </c>
      <c r="Q1051" s="85" t="str">
        <f>IF(AND(B1051='111'!$L$11,OR($N1051=$Q$7,$O1051=$Q$7)),"x","")</f>
        <v/>
      </c>
      <c r="R1051" s="85" t="str">
        <f>IF(AND($N1051=$Q$7,$B1051&lt;'111'!$L$11),"x","")</f>
        <v/>
      </c>
      <c r="S1051" s="85" t="str">
        <f>IF(AND($O1051=$Q$7,$B1051&lt;'111'!$L$11),"x","")</f>
        <v/>
      </c>
      <c r="T1051" s="85" t="str">
        <f>IF(ISERROR(FIND('112'!$M$9,G1051,1)),"",IF((AND(FIND('112'!$M$9,G1051,1)&gt;=1,B1051='112'!$K$9,OR($N1051='112'!$I$6,$O1051='112'!$I$6))),"x",""))</f>
        <v/>
      </c>
      <c r="U1051" s="85" t="str">
        <f>IF(ISERROR(FIND('112'!$M$9,G1051,1)),"",IF((AND(LEFT(G1051,2)=LEFT('112'!$M$9,2),B1051&lt;'112'!$K$9,$N1051='112'!$I$6)),"x",""))</f>
        <v/>
      </c>
      <c r="V1051" s="85" t="str">
        <f>IF(ISERROR(FIND('112'!$M$9,G1051,1)),"",IF((AND(RIGHT(G1051,2)=RIGHT('112'!$M$9,2),B1051&lt;'112'!$K$9,$O1051='112'!$I$6)),"x",""))</f>
        <v/>
      </c>
      <c r="W1051" s="85" t="str">
        <f>IF(AND('341-CT'!$H$9=H1051,OR(LEFT(N1051,3)=$W$7,LEFT(O1051,3)=$W$7)),"x","")</f>
        <v/>
      </c>
      <c r="X1051" s="85" t="str">
        <f>IF(OR(TH!N1051=TH!$X$7,O1051=TH!$X$7),"x","")</f>
        <v/>
      </c>
      <c r="Y1051" s="85" t="str">
        <f>IF(AND(OR(N1051="131",O1051="131"),H1051='131-CT'!$H$9),"x","")</f>
        <v/>
      </c>
      <c r="Z1051" s="85"/>
      <c r="AA1051" s="85" t="str">
        <f>IF(AND(MONTH(E1051)='IN-NX'!$J$5,'IN-NX'!$D$7=D1051),"x","")</f>
        <v/>
      </c>
      <c r="AB1051" s="85" t="str">
        <f>IF(AND(OR(LEFT(TH!N1051,2)="15",LEFT(TH!O1051,2)="15"),'152-CT'!$J$8=TH!F1051),"x","")</f>
        <v/>
      </c>
      <c r="AC1051" s="85" t="str">
        <f>IF(AND(OR(LEFT(TH!N1051,2)="15",LEFT(TH!O1051,2)="15"),TK!$E$7=TH!F1051),"x","")</f>
        <v/>
      </c>
      <c r="AD1051" s="85" t="str">
        <f>IF(AND(N1051="1521",MONTH(C1051)='BK-NL'!$M$11),"x","")</f>
        <v/>
      </c>
    </row>
    <row r="1052" spans="1:30" ht="15.75" customHeight="1">
      <c r="A1052" s="342" t="str">
        <f>IF(B1052&lt;&gt;"",IF(AND(B1052='IN-TC'!$S$4,OR(TH!N1052="1111",TH!O1052="1111")),TH!D1052,""),"")</f>
        <v/>
      </c>
      <c r="B1052" s="63">
        <f t="shared" si="125"/>
        <v>5</v>
      </c>
      <c r="C1052" s="64">
        <f t="shared" si="138"/>
        <v>42508</v>
      </c>
      <c r="D1052" s="320" t="s">
        <v>708</v>
      </c>
      <c r="E1052" s="64">
        <v>42508</v>
      </c>
      <c r="F1052" s="67" t="s">
        <v>1478</v>
      </c>
      <c r="G1052" s="995" t="s">
        <v>929</v>
      </c>
      <c r="H1052" s="898" t="s">
        <v>1566</v>
      </c>
      <c r="I1052" s="446"/>
      <c r="J1052" s="446"/>
      <c r="K1052" s="437"/>
      <c r="L1052" s="446"/>
      <c r="M1052" s="65">
        <v>968452</v>
      </c>
      <c r="N1052" s="66" t="s">
        <v>99</v>
      </c>
      <c r="O1052" s="66" t="s">
        <v>26</v>
      </c>
      <c r="P1052" s="85" t="str">
        <f>IF(AND('331-CT'!$E$7=TH!H1052,OR(N1052="331",O1052="331")),"x","")</f>
        <v/>
      </c>
      <c r="Q1052" s="85" t="str">
        <f>IF(AND(B1052='111'!$L$11,OR($N1052=$Q$7,$O1052=$Q$7)),"x","")</f>
        <v/>
      </c>
      <c r="R1052" s="85" t="str">
        <f>IF(AND($N1052=$Q$7,$B1052&lt;'111'!$L$11),"x","")</f>
        <v/>
      </c>
      <c r="S1052" s="85" t="str">
        <f>IF(AND($O1052=$Q$7,$B1052&lt;'111'!$L$11),"x","")</f>
        <v/>
      </c>
      <c r="T1052" s="85" t="str">
        <f>IF(ISERROR(FIND('112'!$M$9,G1052,1)),"",IF((AND(FIND('112'!$M$9,G1052,1)&gt;=1,B1052='112'!$K$9,OR($N1052='112'!$I$6,$O1052='112'!$I$6))),"x",""))</f>
        <v/>
      </c>
      <c r="U1052" s="85" t="str">
        <f>IF(ISERROR(FIND('112'!$M$9,G1052,1)),"",IF((AND(LEFT(G1052,2)=LEFT('112'!$M$9,2),B1052&lt;'112'!$K$9,$N1052='112'!$I$6)),"x",""))</f>
        <v/>
      </c>
      <c r="V1052" s="85" t="str">
        <f>IF(ISERROR(FIND('112'!$M$9,G1052,1)),"",IF((AND(RIGHT(G1052,2)=RIGHT('112'!$M$9,2),B1052&lt;'112'!$K$9,$O1052='112'!$I$6)),"x",""))</f>
        <v/>
      </c>
      <c r="W1052" s="85" t="str">
        <f>IF(AND('341-CT'!$H$9=H1052,OR(LEFT(N1052,3)=$W$7,LEFT(O1052,3)=$W$7)),"x","")</f>
        <v/>
      </c>
      <c r="X1052" s="85" t="str">
        <f>IF(OR(TH!N1052=TH!$X$7,O1052=TH!$X$7),"x","")</f>
        <v/>
      </c>
      <c r="Y1052" s="85" t="str">
        <f>IF(AND(OR(N1052="131",O1052="131"),H1052='131-CT'!$H$9),"x","")</f>
        <v/>
      </c>
      <c r="Z1052" s="85"/>
      <c r="AA1052" s="85" t="str">
        <f>IF(AND(MONTH(E1052)='IN-NX'!$J$5,'IN-NX'!$D$7=D1052),"x","")</f>
        <v/>
      </c>
      <c r="AB1052" s="85" t="str">
        <f>IF(AND(OR(LEFT(TH!N1052,2)="15",LEFT(TH!O1052,2)="15"),'152-CT'!$J$8=TH!F1052),"x","")</f>
        <v/>
      </c>
      <c r="AC1052" s="85" t="str">
        <f>IF(AND(OR(LEFT(TH!N1052,2)="15",LEFT(TH!O1052,2)="15"),TK!$E$7=TH!F1052),"x","")</f>
        <v/>
      </c>
      <c r="AD1052" s="85" t="str">
        <f>IF(AND(N1052="1521",MONTH(C1052)='BK-NL'!$M$11),"x","")</f>
        <v/>
      </c>
    </row>
    <row r="1053" spans="1:30" ht="15.75" customHeight="1">
      <c r="A1053" s="342" t="str">
        <f>IF(B1053&lt;&gt;"",IF(AND(B1053='IN-TC'!$S$4,OR(TH!N1053="1111",TH!O1053="1111")),TH!D1053,""),"")</f>
        <v/>
      </c>
      <c r="B1053" s="63">
        <f t="shared" si="125"/>
        <v>5</v>
      </c>
      <c r="C1053" s="64">
        <f t="shared" si="138"/>
        <v>42508</v>
      </c>
      <c r="D1053" s="320" t="s">
        <v>708</v>
      </c>
      <c r="E1053" s="64">
        <v>42508</v>
      </c>
      <c r="F1053" s="67" t="s">
        <v>1211</v>
      </c>
      <c r="G1053" s="995" t="s">
        <v>929</v>
      </c>
      <c r="H1053" s="7" t="s">
        <v>744</v>
      </c>
      <c r="I1053" s="446"/>
      <c r="J1053" s="446"/>
      <c r="K1053" s="437"/>
      <c r="L1053" s="446"/>
      <c r="M1053" s="65">
        <v>7219959</v>
      </c>
      <c r="N1053" s="66" t="s">
        <v>99</v>
      </c>
      <c r="O1053" s="66" t="s">
        <v>26</v>
      </c>
      <c r="P1053" s="85" t="str">
        <f>IF(AND('331-CT'!$E$7=TH!H1053,OR(N1053="331",O1053="331")),"x","")</f>
        <v/>
      </c>
      <c r="Q1053" s="85" t="str">
        <f>IF(AND(B1053='111'!$L$11,OR($N1053=$Q$7,$O1053=$Q$7)),"x","")</f>
        <v/>
      </c>
      <c r="R1053" s="85" t="str">
        <f>IF(AND($N1053=$Q$7,$B1053&lt;'111'!$L$11),"x","")</f>
        <v/>
      </c>
      <c r="S1053" s="85" t="str">
        <f>IF(AND($O1053=$Q$7,$B1053&lt;'111'!$L$11),"x","")</f>
        <v/>
      </c>
      <c r="T1053" s="85" t="str">
        <f>IF(ISERROR(FIND('112'!$M$9,G1053,1)),"",IF((AND(FIND('112'!$M$9,G1053,1)&gt;=1,B1053='112'!$K$9,OR($N1053='112'!$I$6,$O1053='112'!$I$6))),"x",""))</f>
        <v/>
      </c>
      <c r="U1053" s="85" t="str">
        <f>IF(ISERROR(FIND('112'!$M$9,G1053,1)),"",IF((AND(LEFT(G1053,2)=LEFT('112'!$M$9,2),B1053&lt;'112'!$K$9,$N1053='112'!$I$6)),"x",""))</f>
        <v/>
      </c>
      <c r="V1053" s="85" t="str">
        <f>IF(ISERROR(FIND('112'!$M$9,G1053,1)),"",IF((AND(RIGHT(G1053,2)=RIGHT('112'!$M$9,2),B1053&lt;'112'!$K$9,$O1053='112'!$I$6)),"x",""))</f>
        <v/>
      </c>
      <c r="W1053" s="85" t="str">
        <f>IF(AND('341-CT'!$H$9=H1053,OR(LEFT(N1053,3)=$W$7,LEFT(O1053,3)=$W$7)),"x","")</f>
        <v/>
      </c>
      <c r="X1053" s="85" t="str">
        <f>IF(OR(TH!N1053=TH!$X$7,O1053=TH!$X$7),"x","")</f>
        <v/>
      </c>
      <c r="Y1053" s="85" t="str">
        <f>IF(AND(OR(N1053="131",O1053="131"),H1053='131-CT'!$H$9),"x","")</f>
        <v/>
      </c>
      <c r="Z1053" s="85"/>
      <c r="AA1053" s="85" t="str">
        <f>IF(AND(MONTH(E1053)='IN-NX'!$J$5,'IN-NX'!$D$7=D1053),"x","")</f>
        <v/>
      </c>
      <c r="AB1053" s="85" t="str">
        <f>IF(AND(OR(LEFT(TH!N1053,2)="15",LEFT(TH!O1053,2)="15"),'152-CT'!$J$8=TH!F1053),"x","")</f>
        <v/>
      </c>
      <c r="AC1053" s="85" t="str">
        <f>IF(AND(OR(LEFT(TH!N1053,2)="15",LEFT(TH!O1053,2)="15"),TK!$E$7=TH!F1053),"x","")</f>
        <v/>
      </c>
      <c r="AD1053" s="85" t="str">
        <f>IF(AND(N1053="1521",MONTH(C1053)='BK-NL'!$M$11),"x","")</f>
        <v/>
      </c>
    </row>
    <row r="1054" spans="1:30" ht="15.75" customHeight="1">
      <c r="A1054" s="342" t="str">
        <f>IF(B1054&lt;&gt;"",IF(AND(B1054='IN-TC'!$S$4,OR(TH!N1054="1111",TH!O1054="1111")),TH!D1054,""),"")</f>
        <v/>
      </c>
      <c r="B1054" s="63">
        <f t="shared" si="125"/>
        <v>5</v>
      </c>
      <c r="C1054" s="64">
        <f t="shared" si="138"/>
        <v>42508</v>
      </c>
      <c r="D1054" s="320" t="s">
        <v>708</v>
      </c>
      <c r="E1054" s="64">
        <v>42508</v>
      </c>
      <c r="F1054" s="67" t="s">
        <v>1211</v>
      </c>
      <c r="G1054" s="995" t="s">
        <v>929</v>
      </c>
      <c r="H1054" s="74" t="s">
        <v>1199</v>
      </c>
      <c r="I1054" s="446"/>
      <c r="J1054" s="446"/>
      <c r="K1054" s="437"/>
      <c r="L1054" s="446"/>
      <c r="M1054" s="65">
        <v>6103459</v>
      </c>
      <c r="N1054" s="66" t="s">
        <v>99</v>
      </c>
      <c r="O1054" s="66" t="s">
        <v>26</v>
      </c>
      <c r="P1054" s="85" t="str">
        <f>IF(AND('331-CT'!$E$7=TH!H1054,OR(N1054="331",O1054="331")),"x","")</f>
        <v/>
      </c>
      <c r="Q1054" s="85" t="str">
        <f>IF(AND(B1054='111'!$L$11,OR($N1054=$Q$7,$O1054=$Q$7)),"x","")</f>
        <v/>
      </c>
      <c r="R1054" s="85" t="str">
        <f>IF(AND($N1054=$Q$7,$B1054&lt;'111'!$L$11),"x","")</f>
        <v/>
      </c>
      <c r="S1054" s="85" t="str">
        <f>IF(AND($O1054=$Q$7,$B1054&lt;'111'!$L$11),"x","")</f>
        <v/>
      </c>
      <c r="T1054" s="85" t="str">
        <f>IF(ISERROR(FIND('112'!$M$9,G1054,1)),"",IF((AND(FIND('112'!$M$9,G1054,1)&gt;=1,B1054='112'!$K$9,OR($N1054='112'!$I$6,$O1054='112'!$I$6))),"x",""))</f>
        <v/>
      </c>
      <c r="U1054" s="85" t="str">
        <f>IF(ISERROR(FIND('112'!$M$9,G1054,1)),"",IF((AND(LEFT(G1054,2)=LEFT('112'!$M$9,2),B1054&lt;'112'!$K$9,$N1054='112'!$I$6)),"x",""))</f>
        <v/>
      </c>
      <c r="V1054" s="85" t="str">
        <f>IF(ISERROR(FIND('112'!$M$9,G1054,1)),"",IF((AND(RIGHT(G1054,2)=RIGHT('112'!$M$9,2),B1054&lt;'112'!$K$9,$O1054='112'!$I$6)),"x",""))</f>
        <v/>
      </c>
      <c r="W1054" s="85" t="str">
        <f>IF(AND('341-CT'!$H$9=H1054,OR(LEFT(N1054,3)=$W$7,LEFT(O1054,3)=$W$7)),"x","")</f>
        <v/>
      </c>
      <c r="X1054" s="85" t="str">
        <f>IF(OR(TH!N1054=TH!$X$7,O1054=TH!$X$7),"x","")</f>
        <v/>
      </c>
      <c r="Y1054" s="85" t="str">
        <f>IF(AND(OR(N1054="131",O1054="131"),H1054='131-CT'!$H$9),"x","")</f>
        <v/>
      </c>
      <c r="Z1054" s="85"/>
      <c r="AA1054" s="85" t="str">
        <f>IF(AND(MONTH(E1054)='IN-NX'!$J$5,'IN-NX'!$D$7=D1054),"x","")</f>
        <v/>
      </c>
      <c r="AB1054" s="85" t="str">
        <f>IF(AND(OR(LEFT(TH!N1054,2)="15",LEFT(TH!O1054,2)="15"),'152-CT'!$J$8=TH!F1054),"x","")</f>
        <v/>
      </c>
      <c r="AC1054" s="85" t="str">
        <f>IF(AND(OR(LEFT(TH!N1054,2)="15",LEFT(TH!O1054,2)="15"),TK!$E$7=TH!F1054),"x","")</f>
        <v/>
      </c>
      <c r="AD1054" s="85" t="str">
        <f>IF(AND(N1054="1521",MONTH(C1054)='BK-NL'!$M$11),"x","")</f>
        <v/>
      </c>
    </row>
    <row r="1055" spans="1:30" ht="15.75" customHeight="1">
      <c r="A1055" s="342" t="str">
        <f>IF(B1055&lt;&gt;"",IF(AND(B1055='IN-TC'!$S$4,OR(TH!N1055="1111",TH!O1055="1111")),TH!D1055,""),"")</f>
        <v/>
      </c>
      <c r="B1055" s="63">
        <f t="shared" si="125"/>
        <v>5</v>
      </c>
      <c r="C1055" s="64">
        <f t="shared" si="138"/>
        <v>42508</v>
      </c>
      <c r="D1055" s="320" t="s">
        <v>708</v>
      </c>
      <c r="E1055" s="64">
        <v>42508</v>
      </c>
      <c r="F1055" s="67" t="s">
        <v>1211</v>
      </c>
      <c r="G1055" s="995" t="s">
        <v>929</v>
      </c>
      <c r="H1055" s="74" t="s">
        <v>1201</v>
      </c>
      <c r="I1055" s="446"/>
      <c r="J1055" s="446"/>
      <c r="K1055" s="437"/>
      <c r="L1055" s="446"/>
      <c r="M1055" s="65">
        <v>6699000</v>
      </c>
      <c r="N1055" s="66" t="s">
        <v>99</v>
      </c>
      <c r="O1055" s="66" t="s">
        <v>26</v>
      </c>
      <c r="P1055" s="85" t="str">
        <f>IF(AND('331-CT'!$E$7=TH!H1055,OR(N1055="331",O1055="331")),"x","")</f>
        <v/>
      </c>
      <c r="Q1055" s="85" t="str">
        <f>IF(AND(B1055='111'!$L$11,OR($N1055=$Q$7,$O1055=$Q$7)),"x","")</f>
        <v/>
      </c>
      <c r="R1055" s="85" t="str">
        <f>IF(AND($N1055=$Q$7,$B1055&lt;'111'!$L$11),"x","")</f>
        <v/>
      </c>
      <c r="S1055" s="85" t="str">
        <f>IF(AND($O1055=$Q$7,$B1055&lt;'111'!$L$11),"x","")</f>
        <v/>
      </c>
      <c r="T1055" s="85" t="str">
        <f>IF(ISERROR(FIND('112'!$M$9,G1055,1)),"",IF((AND(FIND('112'!$M$9,G1055,1)&gt;=1,B1055='112'!$K$9,OR($N1055='112'!$I$6,$O1055='112'!$I$6))),"x",""))</f>
        <v/>
      </c>
      <c r="U1055" s="85" t="str">
        <f>IF(ISERROR(FIND('112'!$M$9,G1055,1)),"",IF((AND(LEFT(G1055,2)=LEFT('112'!$M$9,2),B1055&lt;'112'!$K$9,$N1055='112'!$I$6)),"x",""))</f>
        <v/>
      </c>
      <c r="V1055" s="85" t="str">
        <f>IF(ISERROR(FIND('112'!$M$9,G1055,1)),"",IF((AND(RIGHT(G1055,2)=RIGHT('112'!$M$9,2),B1055&lt;'112'!$K$9,$O1055='112'!$I$6)),"x",""))</f>
        <v/>
      </c>
      <c r="W1055" s="85" t="str">
        <f>IF(AND('341-CT'!$H$9=H1055,OR(LEFT(N1055,3)=$W$7,LEFT(O1055,3)=$W$7)),"x","")</f>
        <v/>
      </c>
      <c r="X1055" s="85" t="str">
        <f>IF(OR(TH!N1055=TH!$X$7,O1055=TH!$X$7),"x","")</f>
        <v/>
      </c>
      <c r="Y1055" s="85" t="str">
        <f>IF(AND(OR(N1055="131",O1055="131"),H1055='131-CT'!$H$9),"x","")</f>
        <v/>
      </c>
      <c r="Z1055" s="85"/>
      <c r="AA1055" s="85" t="str">
        <f>IF(AND(MONTH(E1055)='IN-NX'!$J$5,'IN-NX'!$D$7=D1055),"x","")</f>
        <v/>
      </c>
      <c r="AB1055" s="85" t="str">
        <f>IF(AND(OR(LEFT(TH!N1055,2)="15",LEFT(TH!O1055,2)="15"),'152-CT'!$J$8=TH!F1055),"x","")</f>
        <v/>
      </c>
      <c r="AC1055" s="85" t="str">
        <f>IF(AND(OR(LEFT(TH!N1055,2)="15",LEFT(TH!O1055,2)="15"),TK!$E$7=TH!F1055),"x","")</f>
        <v/>
      </c>
      <c r="AD1055" s="85" t="str">
        <f>IF(AND(N1055="1521",MONTH(C1055)='BK-NL'!$M$11),"x","")</f>
        <v/>
      </c>
    </row>
    <row r="1056" spans="1:30" ht="15.75" customHeight="1">
      <c r="A1056" s="342" t="str">
        <f>IF(B1056&lt;&gt;"",IF(AND(B1056='IN-TC'!$S$4,OR(TH!N1056="1111",TH!O1056="1111")),TH!D1056,""),"")</f>
        <v/>
      </c>
      <c r="B1056" s="63">
        <f t="shared" si="125"/>
        <v>5</v>
      </c>
      <c r="C1056" s="64">
        <f t="shared" si="138"/>
        <v>42508</v>
      </c>
      <c r="D1056" s="320" t="s">
        <v>708</v>
      </c>
      <c r="E1056" s="64">
        <v>42508</v>
      </c>
      <c r="F1056" s="67" t="s">
        <v>1476</v>
      </c>
      <c r="G1056" s="995" t="s">
        <v>929</v>
      </c>
      <c r="H1056" s="898" t="s">
        <v>1566</v>
      </c>
      <c r="I1056" s="446"/>
      <c r="J1056" s="446"/>
      <c r="K1056" s="437"/>
      <c r="L1056" s="446"/>
      <c r="M1056" s="65">
        <v>1418407200</v>
      </c>
      <c r="N1056" s="66" t="s">
        <v>87</v>
      </c>
      <c r="O1056" s="66" t="s">
        <v>26</v>
      </c>
      <c r="P1056" s="85" t="str">
        <f>IF(AND('331-CT'!$E$7=TH!H1056,OR(N1056="331",O1056="331")),"x","")</f>
        <v/>
      </c>
      <c r="Q1056" s="85" t="str">
        <f>IF(AND(B1056='111'!$L$11,OR($N1056=$Q$7,$O1056=$Q$7)),"x","")</f>
        <v/>
      </c>
      <c r="R1056" s="85" t="str">
        <f>IF(AND($N1056=$Q$7,$B1056&lt;'111'!$L$11),"x","")</f>
        <v/>
      </c>
      <c r="S1056" s="85" t="str">
        <f>IF(AND($O1056=$Q$7,$B1056&lt;'111'!$L$11),"x","")</f>
        <v/>
      </c>
      <c r="T1056" s="85" t="str">
        <f>IF(ISERROR(FIND('112'!$M$9,G1056,1)),"",IF((AND(FIND('112'!$M$9,G1056,1)&gt;=1,B1056='112'!$K$9,OR($N1056='112'!$I$6,$O1056='112'!$I$6))),"x",""))</f>
        <v/>
      </c>
      <c r="U1056" s="85" t="str">
        <f>IF(ISERROR(FIND('112'!$M$9,G1056,1)),"",IF((AND(LEFT(G1056,2)=LEFT('112'!$M$9,2),B1056&lt;'112'!$K$9,$N1056='112'!$I$6)),"x",""))</f>
        <v/>
      </c>
      <c r="V1056" s="85" t="str">
        <f>IF(ISERROR(FIND('112'!$M$9,G1056,1)),"",IF((AND(RIGHT(G1056,2)=RIGHT('112'!$M$9,2),B1056&lt;'112'!$K$9,$O1056='112'!$I$6)),"x",""))</f>
        <v/>
      </c>
      <c r="W1056" s="85" t="str">
        <f>IF(AND('341-CT'!$H$9=H1056,OR(LEFT(N1056,3)=$W$7,LEFT(O1056,3)=$W$7)),"x","")</f>
        <v/>
      </c>
      <c r="X1056" s="85" t="str">
        <f>IF(OR(TH!N1056=TH!$X$7,O1056=TH!$X$7),"x","")</f>
        <v/>
      </c>
      <c r="Y1056" s="85" t="str">
        <f>IF(AND(OR(N1056="131",O1056="131"),H1056='131-CT'!$H$9),"x","")</f>
        <v/>
      </c>
      <c r="Z1056" s="85"/>
      <c r="AA1056" s="85" t="str">
        <f>IF(AND(MONTH(E1056)='IN-NX'!$J$5,'IN-NX'!$D$7=D1056),"x","")</f>
        <v/>
      </c>
      <c r="AB1056" s="85" t="str">
        <f>IF(AND(OR(LEFT(TH!N1056,2)="15",LEFT(TH!O1056,2)="15"),'152-CT'!$J$8=TH!F1056),"x","")</f>
        <v/>
      </c>
      <c r="AC1056" s="85" t="str">
        <f>IF(AND(OR(LEFT(TH!N1056,2)="15",LEFT(TH!O1056,2)="15"),TK!$E$7=TH!F1056),"x","")</f>
        <v/>
      </c>
      <c r="AD1056" s="85" t="str">
        <f>IF(AND(N1056="1521",MONTH(C1056)='BK-NL'!$M$11),"x","")</f>
        <v/>
      </c>
    </row>
    <row r="1057" spans="1:30" ht="15.75" customHeight="1">
      <c r="A1057" s="342" t="str">
        <f>IF(B1057&lt;&gt;"",IF(AND(B1057='IN-TC'!$S$4,OR(TH!N1057="1111",TH!O1057="1111")),TH!D1057,""),"")</f>
        <v/>
      </c>
      <c r="B1057" s="63">
        <f t="shared" si="125"/>
        <v>5</v>
      </c>
      <c r="C1057" s="64">
        <f t="shared" ref="C1057:C1065" si="139">E1057</f>
        <v>42509</v>
      </c>
      <c r="D1057" s="320" t="s">
        <v>708</v>
      </c>
      <c r="E1057" s="64">
        <v>42509</v>
      </c>
      <c r="F1057" s="67" t="s">
        <v>1216</v>
      </c>
      <c r="G1057" s="995" t="s">
        <v>935</v>
      </c>
      <c r="H1057" s="74"/>
      <c r="I1057" s="446"/>
      <c r="J1057" s="446"/>
      <c r="K1057" s="437"/>
      <c r="L1057" s="446"/>
      <c r="M1057" s="65">
        <v>20000000</v>
      </c>
      <c r="N1057" s="66" t="s">
        <v>26</v>
      </c>
      <c r="O1057" s="66" t="s">
        <v>26</v>
      </c>
      <c r="P1057" s="85" t="str">
        <f>IF(AND('331-CT'!$E$7=TH!H1057,OR(N1057="331",O1057="331")),"x","")</f>
        <v/>
      </c>
      <c r="Q1057" s="85" t="str">
        <f>IF(AND(B1057='111'!$L$11,OR($N1057=$Q$7,$O1057=$Q$7)),"x","")</f>
        <v/>
      </c>
      <c r="R1057" s="85" t="str">
        <f>IF(AND($N1057=$Q$7,$B1057&lt;'111'!$L$11),"x","")</f>
        <v/>
      </c>
      <c r="S1057" s="85" t="str">
        <f>IF(AND($O1057=$Q$7,$B1057&lt;'111'!$L$11),"x","")</f>
        <v/>
      </c>
      <c r="T1057" s="85" t="str">
        <f>IF(ISERROR(FIND('112'!$M$9,G1057,1)),"",IF((AND(FIND('112'!$M$9,G1057,1)&gt;=1,B1057='112'!$K$9,OR($N1057='112'!$I$6,$O1057='112'!$I$6))),"x",""))</f>
        <v>x</v>
      </c>
      <c r="U1057" s="85" t="str">
        <f>IF(ISERROR(FIND('112'!$M$9,G1057,1)),"",IF((AND(LEFT(G1057,2)=LEFT('112'!$M$9,2),B1057&lt;'112'!$K$9,$N1057='112'!$I$6)),"x",""))</f>
        <v/>
      </c>
      <c r="V1057" s="85" t="str">
        <f>IF(ISERROR(FIND('112'!$M$9,G1057,1)),"",IF((AND(RIGHT(G1057,2)=RIGHT('112'!$M$9,2),B1057&lt;'112'!$K$9,$O1057='112'!$I$6)),"x",""))</f>
        <v/>
      </c>
      <c r="W1057" s="85" t="str">
        <f>IF(AND('341-CT'!$H$9=H1057,OR(LEFT(N1057,3)=$W$7,LEFT(O1057,3)=$W$7)),"x","")</f>
        <v/>
      </c>
      <c r="X1057" s="85" t="str">
        <f>IF(OR(TH!N1057=TH!$X$7,O1057=TH!$X$7),"x","")</f>
        <v/>
      </c>
      <c r="Y1057" s="85" t="str">
        <f>IF(AND(OR(N1057="131",O1057="131"),H1057='131-CT'!$H$9),"x","")</f>
        <v/>
      </c>
      <c r="Z1057" s="85"/>
      <c r="AA1057" s="85" t="str">
        <f>IF(AND(MONTH(E1057)='IN-NX'!$J$5,'IN-NX'!$D$7=D1057),"x","")</f>
        <v/>
      </c>
      <c r="AB1057" s="85" t="str">
        <f>IF(AND(OR(LEFT(TH!N1057,2)="15",LEFT(TH!O1057,2)="15"),'152-CT'!$J$8=TH!F1057),"x","")</f>
        <v/>
      </c>
      <c r="AC1057" s="85" t="str">
        <f>IF(AND(OR(LEFT(TH!N1057,2)="15",LEFT(TH!O1057,2)="15"),TK!$E$7=TH!F1057),"x","")</f>
        <v/>
      </c>
      <c r="AD1057" s="85" t="str">
        <f>IF(AND(N1057="1521",MONTH(C1057)='BK-NL'!$M$11),"x","")</f>
        <v/>
      </c>
    </row>
    <row r="1058" spans="1:30" ht="15.75" customHeight="1">
      <c r="A1058" s="342" t="str">
        <f>IF(B1058&lt;&gt;"",IF(AND(B1058='IN-TC'!$S$4,OR(TH!N1058="1111",TH!O1058="1111")),TH!D1058,""),"")</f>
        <v/>
      </c>
      <c r="B1058" s="63">
        <f t="shared" si="125"/>
        <v>5</v>
      </c>
      <c r="C1058" s="64">
        <f t="shared" si="139"/>
        <v>42509</v>
      </c>
      <c r="D1058" s="320" t="s">
        <v>708</v>
      </c>
      <c r="E1058" s="64">
        <v>42509</v>
      </c>
      <c r="F1058" s="67" t="s">
        <v>1468</v>
      </c>
      <c r="G1058" s="995" t="s">
        <v>929</v>
      </c>
      <c r="H1058" s="74" t="s">
        <v>1233</v>
      </c>
      <c r="I1058" s="446"/>
      <c r="J1058" s="446"/>
      <c r="K1058" s="437"/>
      <c r="L1058" s="446"/>
      <c r="M1058" s="65">
        <v>14000000</v>
      </c>
      <c r="N1058" s="66" t="s">
        <v>72</v>
      </c>
      <c r="O1058" s="66" t="s">
        <v>26</v>
      </c>
      <c r="P1058" s="85" t="str">
        <f>IF(AND('331-CT'!$E$7=TH!H1058,OR(N1058="331",O1058="331")),"x","")</f>
        <v/>
      </c>
      <c r="Q1058" s="85" t="str">
        <f>IF(AND(B1058='111'!$L$11,OR($N1058=$Q$7,$O1058=$Q$7)),"x","")</f>
        <v/>
      </c>
      <c r="R1058" s="85" t="str">
        <f>IF(AND($N1058=$Q$7,$B1058&lt;'111'!$L$11),"x","")</f>
        <v/>
      </c>
      <c r="S1058" s="85" t="str">
        <f>IF(AND($O1058=$Q$7,$B1058&lt;'111'!$L$11),"x","")</f>
        <v/>
      </c>
      <c r="T1058" s="85" t="str">
        <f>IF(ISERROR(FIND('112'!$M$9,G1058,1)),"",IF((AND(FIND('112'!$M$9,G1058,1)&gt;=1,B1058='112'!$K$9,OR($N1058='112'!$I$6,$O1058='112'!$I$6))),"x",""))</f>
        <v/>
      </c>
      <c r="U1058" s="85" t="str">
        <f>IF(ISERROR(FIND('112'!$M$9,G1058,1)),"",IF((AND(LEFT(G1058,2)=LEFT('112'!$M$9,2),B1058&lt;'112'!$K$9,$N1058='112'!$I$6)),"x",""))</f>
        <v/>
      </c>
      <c r="V1058" s="85" t="str">
        <f>IF(ISERROR(FIND('112'!$M$9,G1058,1)),"",IF((AND(RIGHT(G1058,2)=RIGHT('112'!$M$9,2),B1058&lt;'112'!$K$9,$O1058='112'!$I$6)),"x",""))</f>
        <v/>
      </c>
      <c r="W1058" s="85" t="str">
        <f>IF(AND('341-CT'!$H$9=H1058,OR(LEFT(N1058,3)=$W$7,LEFT(O1058,3)=$W$7)),"x","")</f>
        <v/>
      </c>
      <c r="X1058" s="85" t="str">
        <f>IF(OR(TH!N1058=TH!$X$7,O1058=TH!$X$7),"x","")</f>
        <v>x</v>
      </c>
      <c r="Y1058" s="85" t="str">
        <f>IF(AND(OR(N1058="131",O1058="131"),H1058='131-CT'!$H$9),"x","")</f>
        <v/>
      </c>
      <c r="Z1058" s="85"/>
      <c r="AA1058" s="85" t="str">
        <f>IF(AND(MONTH(E1058)='IN-NX'!$J$5,'IN-NX'!$D$7=D1058),"x","")</f>
        <v/>
      </c>
      <c r="AB1058" s="85" t="str">
        <f>IF(AND(OR(LEFT(TH!N1058,2)="15",LEFT(TH!O1058,2)="15"),'152-CT'!$J$8=TH!F1058),"x","")</f>
        <v/>
      </c>
      <c r="AC1058" s="85" t="str">
        <f>IF(AND(OR(LEFT(TH!N1058,2)="15",LEFT(TH!O1058,2)="15"),TK!$E$7=TH!F1058),"x","")</f>
        <v/>
      </c>
      <c r="AD1058" s="85" t="str">
        <f>IF(AND(N1058="1521",MONTH(C1058)='BK-NL'!$M$11),"x","")</f>
        <v/>
      </c>
    </row>
    <row r="1059" spans="1:30" ht="15.75" customHeight="1">
      <c r="A1059" s="342" t="str">
        <f>IF(B1059&lt;&gt;"",IF(AND(B1059='IN-TC'!$S$4,OR(TH!N1059="1111",TH!O1059="1111")),TH!D1059,""),"")</f>
        <v/>
      </c>
      <c r="B1059" s="63">
        <f t="shared" ref="B1059:B1079" si="140">IF(C1059&lt;&gt;"",MONTH(C1059),"")</f>
        <v>5</v>
      </c>
      <c r="C1059" s="64">
        <f t="shared" si="139"/>
        <v>42510</v>
      </c>
      <c r="D1059" s="320" t="s">
        <v>919</v>
      </c>
      <c r="E1059" s="64">
        <v>42510</v>
      </c>
      <c r="F1059" s="67" t="s">
        <v>1157</v>
      </c>
      <c r="G1059" s="995" t="s">
        <v>929</v>
      </c>
      <c r="H1059" s="74" t="s">
        <v>772</v>
      </c>
      <c r="I1059" s="446"/>
      <c r="J1059" s="446"/>
      <c r="K1059" s="437"/>
      <c r="L1059" s="446"/>
      <c r="M1059" s="65">
        <v>150000000</v>
      </c>
      <c r="N1059" s="66" t="s">
        <v>63</v>
      </c>
      <c r="O1059" s="66" t="s">
        <v>26</v>
      </c>
      <c r="P1059" s="85" t="str">
        <f>IF(AND('331-CT'!$E$7=TH!H1059,OR(N1059="331",O1059="331")),"x","")</f>
        <v/>
      </c>
      <c r="Q1059" s="85" t="str">
        <f>IF(AND(B1059='111'!$L$11,OR($N1059=$Q$7,$O1059=$Q$7)),"x","")</f>
        <v/>
      </c>
      <c r="R1059" s="85" t="str">
        <f>IF(AND($N1059=$Q$7,$B1059&lt;'111'!$L$11),"x","")</f>
        <v/>
      </c>
      <c r="S1059" s="85" t="str">
        <f>IF(AND($O1059=$Q$7,$B1059&lt;'111'!$L$11),"x","")</f>
        <v/>
      </c>
      <c r="T1059" s="85" t="str">
        <f>IF(ISERROR(FIND('112'!$M$9,G1059,1)),"",IF((AND(FIND('112'!$M$9,G1059,1)&gt;=1,B1059='112'!$K$9,OR($N1059='112'!$I$6,$O1059='112'!$I$6))),"x",""))</f>
        <v/>
      </c>
      <c r="U1059" s="85" t="str">
        <f>IF(ISERROR(FIND('112'!$M$9,G1059,1)),"",IF((AND(LEFT(G1059,2)=LEFT('112'!$M$9,2),B1059&lt;'112'!$K$9,$N1059='112'!$I$6)),"x",""))</f>
        <v/>
      </c>
      <c r="V1059" s="85" t="str">
        <f>IF(ISERROR(FIND('112'!$M$9,G1059,1)),"",IF((AND(RIGHT(G1059,2)=RIGHT('112'!$M$9,2),B1059&lt;'112'!$K$9,$O1059='112'!$I$6)),"x",""))</f>
        <v/>
      </c>
      <c r="W1059" s="85" t="str">
        <f>IF(AND('341-CT'!$H$9=H1059,OR(LEFT(N1059,3)=$W$7,LEFT(O1059,3)=$W$7)),"x","")</f>
        <v/>
      </c>
      <c r="X1059" s="85" t="str">
        <f>IF(OR(TH!N1059=TH!$X$7,O1059=TH!$X$7),"x","")</f>
        <v/>
      </c>
      <c r="Y1059" s="85" t="str">
        <f>IF(AND(OR(N1059="131",O1059="131"),H1059='131-CT'!$H$9),"x","")</f>
        <v/>
      </c>
      <c r="Z1059" s="85"/>
      <c r="AA1059" s="85" t="str">
        <f>IF(AND(MONTH(E1059)='IN-NX'!$J$5,'IN-NX'!$D$7=D1059),"x","")</f>
        <v/>
      </c>
      <c r="AB1059" s="85" t="str">
        <f>IF(AND(OR(LEFT(TH!N1059,2)="15",LEFT(TH!O1059,2)="15"),'152-CT'!$J$8=TH!F1059),"x","")</f>
        <v/>
      </c>
      <c r="AC1059" s="85" t="str">
        <f>IF(AND(OR(LEFT(TH!N1059,2)="15",LEFT(TH!O1059,2)="15"),TK!$E$7=TH!F1059),"x","")</f>
        <v/>
      </c>
      <c r="AD1059" s="85" t="str">
        <f>IF(AND(N1059="1521",MONTH(C1059)='BK-NL'!$M$11),"x","")</f>
        <v/>
      </c>
    </row>
    <row r="1060" spans="1:30" ht="15.75" customHeight="1">
      <c r="A1060" s="342" t="str">
        <f>IF(B1060&lt;&gt;"",IF(AND(B1060='IN-TC'!$S$4,OR(TH!N1060="1111",TH!O1060="1111")),TH!D1060,""),"")</f>
        <v/>
      </c>
      <c r="B1060" s="63">
        <f t="shared" si="140"/>
        <v>5</v>
      </c>
      <c r="C1060" s="64">
        <f t="shared" si="139"/>
        <v>42514</v>
      </c>
      <c r="D1060" s="320" t="s">
        <v>708</v>
      </c>
      <c r="E1060" s="64">
        <v>42514</v>
      </c>
      <c r="F1060" s="67" t="s">
        <v>1574</v>
      </c>
      <c r="G1060" s="995" t="s">
        <v>929</v>
      </c>
      <c r="H1060" s="74" t="s">
        <v>635</v>
      </c>
      <c r="I1060" s="446"/>
      <c r="J1060" s="446"/>
      <c r="K1060" s="437"/>
      <c r="L1060" s="446"/>
      <c r="M1060" s="65">
        <v>28393970</v>
      </c>
      <c r="N1060" s="66" t="s">
        <v>8</v>
      </c>
      <c r="O1060" s="66" t="s">
        <v>26</v>
      </c>
      <c r="P1060" s="85" t="str">
        <f>IF(AND('331-CT'!$E$7=TH!H1060,OR(N1060="331",O1060="331")),"x","")</f>
        <v/>
      </c>
      <c r="Q1060" s="85" t="str">
        <f>IF(AND(B1060='111'!$L$11,OR($N1060=$Q$7,$O1060=$Q$7)),"x","")</f>
        <v/>
      </c>
      <c r="R1060" s="85" t="str">
        <f>IF(AND($N1060=$Q$7,$B1060&lt;'111'!$L$11),"x","")</f>
        <v/>
      </c>
      <c r="S1060" s="85" t="str">
        <f>IF(AND($O1060=$Q$7,$B1060&lt;'111'!$L$11),"x","")</f>
        <v/>
      </c>
      <c r="T1060" s="85" t="str">
        <f>IF(ISERROR(FIND('112'!$M$9,G1060,1)),"",IF((AND(FIND('112'!$M$9,G1060,1)&gt;=1,B1060='112'!$K$9,OR($N1060='112'!$I$6,$O1060='112'!$I$6))),"x",""))</f>
        <v/>
      </c>
      <c r="U1060" s="85" t="str">
        <f>IF(ISERROR(FIND('112'!$M$9,G1060,1)),"",IF((AND(LEFT(G1060,2)=LEFT('112'!$M$9,2),B1060&lt;'112'!$K$9,$N1060='112'!$I$6)),"x",""))</f>
        <v/>
      </c>
      <c r="V1060" s="85" t="str">
        <f>IF(ISERROR(FIND('112'!$M$9,G1060,1)),"",IF((AND(RIGHT(G1060,2)=RIGHT('112'!$M$9,2),B1060&lt;'112'!$K$9,$O1060='112'!$I$6)),"x",""))</f>
        <v/>
      </c>
      <c r="W1060" s="85" t="str">
        <f>IF(AND('341-CT'!$H$9=H1060,OR(LEFT(N1060,3)=$W$7,LEFT(O1060,3)=$W$7)),"x","")</f>
        <v/>
      </c>
      <c r="X1060" s="85" t="str">
        <f>IF(OR(TH!N1060=TH!$X$7,O1060=TH!$X$7),"x","")</f>
        <v/>
      </c>
      <c r="Y1060" s="85" t="str">
        <f>IF(AND(OR(N1060="131",O1060="131"),H1060='131-CT'!$H$9),"x","")</f>
        <v/>
      </c>
      <c r="Z1060" s="85"/>
      <c r="AA1060" s="85" t="str">
        <f>IF(AND(MONTH(E1060)='IN-NX'!$J$5,'IN-NX'!$D$7=D1060),"x","")</f>
        <v/>
      </c>
      <c r="AB1060" s="85" t="str">
        <f>IF(AND(OR(LEFT(TH!N1060,2)="15",LEFT(TH!O1060,2)="15"),'152-CT'!$J$8=TH!F1060),"x","")</f>
        <v/>
      </c>
      <c r="AC1060" s="85" t="str">
        <f>IF(AND(OR(LEFT(TH!N1060,2)="15",LEFT(TH!O1060,2)="15"),TK!$E$7=TH!F1060),"x","")</f>
        <v/>
      </c>
      <c r="AD1060" s="85" t="str">
        <f>IF(AND(N1060="1521",MONTH(C1060)='BK-NL'!$M$11),"x","")</f>
        <v/>
      </c>
    </row>
    <row r="1061" spans="1:30" ht="15.75" customHeight="1">
      <c r="A1061" s="342" t="str">
        <f>IF(B1061&lt;&gt;"",IF(AND(B1061='IN-TC'!$S$4,OR(TH!N1061="1111",TH!O1061="1111")),TH!D1061,""),"")</f>
        <v/>
      </c>
      <c r="B1061" s="63">
        <f t="shared" si="140"/>
        <v>5</v>
      </c>
      <c r="C1061" s="64">
        <f t="shared" si="139"/>
        <v>42514</v>
      </c>
      <c r="D1061" s="320" t="s">
        <v>708</v>
      </c>
      <c r="E1061" s="64">
        <v>42514</v>
      </c>
      <c r="F1061" s="67" t="s">
        <v>1214</v>
      </c>
      <c r="G1061" s="995" t="s">
        <v>929</v>
      </c>
      <c r="H1061" s="74"/>
      <c r="I1061" s="446"/>
      <c r="J1061" s="446"/>
      <c r="K1061" s="437"/>
      <c r="L1061" s="446"/>
      <c r="M1061" s="65">
        <v>25000</v>
      </c>
      <c r="N1061" s="66" t="s">
        <v>101</v>
      </c>
      <c r="O1061" s="66" t="s">
        <v>26</v>
      </c>
      <c r="P1061" s="85" t="str">
        <f>IF(AND('331-CT'!$E$7=TH!H1061,OR(N1061="331",O1061="331")),"x","")</f>
        <v/>
      </c>
      <c r="Q1061" s="85" t="str">
        <f>IF(AND(B1061='111'!$L$11,OR($N1061=$Q$7,$O1061=$Q$7)),"x","")</f>
        <v/>
      </c>
      <c r="R1061" s="85" t="str">
        <f>IF(AND($N1061=$Q$7,$B1061&lt;'111'!$L$11),"x","")</f>
        <v/>
      </c>
      <c r="S1061" s="85" t="str">
        <f>IF(AND($O1061=$Q$7,$B1061&lt;'111'!$L$11),"x","")</f>
        <v/>
      </c>
      <c r="T1061" s="85" t="str">
        <f>IF(ISERROR(FIND('112'!$M$9,G1061,1)),"",IF((AND(FIND('112'!$M$9,G1061,1)&gt;=1,B1061='112'!$K$9,OR($N1061='112'!$I$6,$O1061='112'!$I$6))),"x",""))</f>
        <v/>
      </c>
      <c r="U1061" s="85" t="str">
        <f>IF(ISERROR(FIND('112'!$M$9,G1061,1)),"",IF((AND(LEFT(G1061,2)=LEFT('112'!$M$9,2),B1061&lt;'112'!$K$9,$N1061='112'!$I$6)),"x",""))</f>
        <v/>
      </c>
      <c r="V1061" s="85" t="str">
        <f>IF(ISERROR(FIND('112'!$M$9,G1061,1)),"",IF((AND(RIGHT(G1061,2)=RIGHT('112'!$M$9,2),B1061&lt;'112'!$K$9,$O1061='112'!$I$6)),"x",""))</f>
        <v/>
      </c>
      <c r="W1061" s="85" t="str">
        <f>IF(AND('341-CT'!$H$9=H1061,OR(LEFT(N1061,3)=$W$7,LEFT(O1061,3)=$W$7)),"x","")</f>
        <v/>
      </c>
      <c r="X1061" s="85" t="str">
        <f>IF(OR(TH!N1061=TH!$X$7,O1061=TH!$X$7),"x","")</f>
        <v/>
      </c>
      <c r="Y1061" s="85" t="str">
        <f>IF(AND(OR(N1061="131",O1061="131"),H1061='131-CT'!$H$9),"x","")</f>
        <v/>
      </c>
      <c r="Z1061" s="85"/>
      <c r="AA1061" s="85" t="str">
        <f>IF(AND(MONTH(E1061)='IN-NX'!$J$5,'IN-NX'!$D$7=D1061),"x","")</f>
        <v/>
      </c>
      <c r="AB1061" s="85" t="str">
        <f>IF(AND(OR(LEFT(TH!N1061,2)="15",LEFT(TH!O1061,2)="15"),'152-CT'!$J$8=TH!F1061),"x","")</f>
        <v/>
      </c>
      <c r="AC1061" s="85" t="str">
        <f>IF(AND(OR(LEFT(TH!N1061,2)="15",LEFT(TH!O1061,2)="15"),TK!$E$7=TH!F1061),"x","")</f>
        <v/>
      </c>
      <c r="AD1061" s="85" t="str">
        <f>IF(AND(N1061="1521",MONTH(C1061)='BK-NL'!$M$11),"x","")</f>
        <v/>
      </c>
    </row>
    <row r="1062" spans="1:30" ht="15.75" customHeight="1">
      <c r="A1062" s="342" t="str">
        <f>IF(B1062&lt;&gt;"",IF(AND(B1062='IN-TC'!$S$4,OR(TH!N1062="1111",TH!O1062="1111")),TH!D1062,""),"")</f>
        <v/>
      </c>
      <c r="B1062" s="63">
        <f t="shared" si="140"/>
        <v>5</v>
      </c>
      <c r="C1062" s="64">
        <f t="shared" si="139"/>
        <v>42514</v>
      </c>
      <c r="D1062" s="320" t="s">
        <v>708</v>
      </c>
      <c r="E1062" s="64">
        <v>42514</v>
      </c>
      <c r="F1062" s="67" t="s">
        <v>1215</v>
      </c>
      <c r="G1062" s="995" t="s">
        <v>929</v>
      </c>
      <c r="H1062" s="74"/>
      <c r="I1062" s="446"/>
      <c r="J1062" s="446"/>
      <c r="K1062" s="437"/>
      <c r="L1062" s="446"/>
      <c r="M1062" s="65">
        <v>2500</v>
      </c>
      <c r="N1062" s="66" t="s">
        <v>9</v>
      </c>
      <c r="O1062" s="66" t="s">
        <v>26</v>
      </c>
      <c r="P1062" s="85" t="str">
        <f>IF(AND('331-CT'!$E$7=TH!H1062,OR(N1062="331",O1062="331")),"x","")</f>
        <v/>
      </c>
      <c r="Q1062" s="85" t="str">
        <f>IF(AND(B1062='111'!$L$11,OR($N1062=$Q$7,$O1062=$Q$7)),"x","")</f>
        <v/>
      </c>
      <c r="R1062" s="85" t="str">
        <f>IF(AND($N1062=$Q$7,$B1062&lt;'111'!$L$11),"x","")</f>
        <v/>
      </c>
      <c r="S1062" s="85" t="str">
        <f>IF(AND($O1062=$Q$7,$B1062&lt;'111'!$L$11),"x","")</f>
        <v/>
      </c>
      <c r="T1062" s="85" t="str">
        <f>IF(ISERROR(FIND('112'!$M$9,G1062,1)),"",IF((AND(FIND('112'!$M$9,G1062,1)&gt;=1,B1062='112'!$K$9,OR($N1062='112'!$I$6,$O1062='112'!$I$6))),"x",""))</f>
        <v/>
      </c>
      <c r="U1062" s="85" t="str">
        <f>IF(ISERROR(FIND('112'!$M$9,G1062,1)),"",IF((AND(LEFT(G1062,2)=LEFT('112'!$M$9,2),B1062&lt;'112'!$K$9,$N1062='112'!$I$6)),"x",""))</f>
        <v/>
      </c>
      <c r="V1062" s="85" t="str">
        <f>IF(ISERROR(FIND('112'!$M$9,G1062,1)),"",IF((AND(RIGHT(G1062,2)=RIGHT('112'!$M$9,2),B1062&lt;'112'!$K$9,$O1062='112'!$I$6)),"x",""))</f>
        <v/>
      </c>
      <c r="W1062" s="85" t="str">
        <f>IF(AND('341-CT'!$H$9=H1062,OR(LEFT(N1062,3)=$W$7,LEFT(O1062,3)=$W$7)),"x","")</f>
        <v/>
      </c>
      <c r="X1062" s="85" t="str">
        <f>IF(OR(TH!N1062=TH!$X$7,O1062=TH!$X$7),"x","")</f>
        <v/>
      </c>
      <c r="Y1062" s="85" t="str">
        <f>IF(AND(OR(N1062="131",O1062="131"),H1062='131-CT'!$H$9),"x","")</f>
        <v/>
      </c>
      <c r="Z1062" s="85"/>
      <c r="AA1062" s="85" t="str">
        <f>IF(AND(MONTH(E1062)='IN-NX'!$J$5,'IN-NX'!$D$7=D1062),"x","")</f>
        <v/>
      </c>
      <c r="AB1062" s="85" t="str">
        <f>IF(AND(OR(LEFT(TH!N1062,2)="15",LEFT(TH!O1062,2)="15"),'152-CT'!$J$8=TH!F1062),"x","")</f>
        <v/>
      </c>
      <c r="AC1062" s="85" t="str">
        <f>IF(AND(OR(LEFT(TH!N1062,2)="15",LEFT(TH!O1062,2)="15"),TK!$E$7=TH!F1062),"x","")</f>
        <v/>
      </c>
      <c r="AD1062" s="85" t="str">
        <f>IF(AND(N1062="1521",MONTH(C1062)='BK-NL'!$M$11),"x","")</f>
        <v/>
      </c>
    </row>
    <row r="1063" spans="1:30" ht="15.75" customHeight="1">
      <c r="A1063" s="342" t="str">
        <f>IF(B1063&lt;&gt;"",IF(AND(B1063='IN-TC'!$S$4,OR(TH!N1063="1111",TH!O1063="1111")),TH!D1063,""),"")</f>
        <v/>
      </c>
      <c r="B1063" s="63">
        <f t="shared" si="140"/>
        <v>5</v>
      </c>
      <c r="C1063" s="64">
        <f t="shared" si="139"/>
        <v>42515</v>
      </c>
      <c r="D1063" s="320" t="s">
        <v>708</v>
      </c>
      <c r="E1063" s="64">
        <v>42515</v>
      </c>
      <c r="F1063" s="67" t="s">
        <v>1468</v>
      </c>
      <c r="G1063" s="995" t="s">
        <v>929</v>
      </c>
      <c r="H1063" s="74" t="s">
        <v>1233</v>
      </c>
      <c r="I1063" s="446"/>
      <c r="J1063" s="446"/>
      <c r="K1063" s="437"/>
      <c r="L1063" s="446"/>
      <c r="M1063" s="65">
        <v>85000000</v>
      </c>
      <c r="N1063" s="66" t="s">
        <v>72</v>
      </c>
      <c r="O1063" s="66" t="s">
        <v>26</v>
      </c>
      <c r="P1063" s="85" t="str">
        <f>IF(AND('331-CT'!$E$7=TH!H1063,OR(N1063="331",O1063="331")),"x","")</f>
        <v/>
      </c>
      <c r="Q1063" s="85" t="str">
        <f>IF(AND(B1063='111'!$L$11,OR($N1063=$Q$7,$O1063=$Q$7)),"x","")</f>
        <v/>
      </c>
      <c r="R1063" s="85" t="str">
        <f>IF(AND($N1063=$Q$7,$B1063&lt;'111'!$L$11),"x","")</f>
        <v/>
      </c>
      <c r="S1063" s="85" t="str">
        <f>IF(AND($O1063=$Q$7,$B1063&lt;'111'!$L$11),"x","")</f>
        <v/>
      </c>
      <c r="T1063" s="85" t="str">
        <f>IF(ISERROR(FIND('112'!$M$9,G1063,1)),"",IF((AND(FIND('112'!$M$9,G1063,1)&gt;=1,B1063='112'!$K$9,OR($N1063='112'!$I$6,$O1063='112'!$I$6))),"x",""))</f>
        <v/>
      </c>
      <c r="U1063" s="85" t="str">
        <f>IF(ISERROR(FIND('112'!$M$9,G1063,1)),"",IF((AND(LEFT(G1063,2)=LEFT('112'!$M$9,2),B1063&lt;'112'!$K$9,$N1063='112'!$I$6)),"x",""))</f>
        <v/>
      </c>
      <c r="V1063" s="85" t="str">
        <f>IF(ISERROR(FIND('112'!$M$9,G1063,1)),"",IF((AND(RIGHT(G1063,2)=RIGHT('112'!$M$9,2),B1063&lt;'112'!$K$9,$O1063='112'!$I$6)),"x",""))</f>
        <v/>
      </c>
      <c r="W1063" s="85" t="str">
        <f>IF(AND('341-CT'!$H$9=H1063,OR(LEFT(N1063,3)=$W$7,LEFT(O1063,3)=$W$7)),"x","")</f>
        <v/>
      </c>
      <c r="X1063" s="85" t="str">
        <f>IF(OR(TH!N1063=TH!$X$7,O1063=TH!$X$7),"x","")</f>
        <v>x</v>
      </c>
      <c r="Y1063" s="85" t="str">
        <f>IF(AND(OR(N1063="131",O1063="131"),H1063='131-CT'!$H$9),"x","")</f>
        <v/>
      </c>
      <c r="Z1063" s="85"/>
      <c r="AA1063" s="85" t="str">
        <f>IF(AND(MONTH(E1063)='IN-NX'!$J$5,'IN-NX'!$D$7=D1063),"x","")</f>
        <v/>
      </c>
      <c r="AB1063" s="85" t="str">
        <f>IF(AND(OR(LEFT(TH!N1063,2)="15",LEFT(TH!O1063,2)="15"),'152-CT'!$J$8=TH!F1063),"x","")</f>
        <v/>
      </c>
      <c r="AC1063" s="85" t="str">
        <f>IF(AND(OR(LEFT(TH!N1063,2)="15",LEFT(TH!O1063,2)="15"),TK!$E$7=TH!F1063),"x","")</f>
        <v/>
      </c>
      <c r="AD1063" s="85" t="str">
        <f>IF(AND(N1063="1521",MONTH(C1063)='BK-NL'!$M$11),"x","")</f>
        <v/>
      </c>
    </row>
    <row r="1064" spans="1:30" ht="15.75" customHeight="1">
      <c r="A1064" s="342" t="str">
        <f>IF(B1064&lt;&gt;"",IF(AND(B1064='IN-TC'!$S$4,OR(TH!N1064="1111",TH!O1064="1111")),TH!D1064,""),"")</f>
        <v/>
      </c>
      <c r="B1064" s="63">
        <f t="shared" si="140"/>
        <v>5</v>
      </c>
      <c r="C1064" s="64">
        <f t="shared" si="139"/>
        <v>42517</v>
      </c>
      <c r="D1064" s="320" t="s">
        <v>708</v>
      </c>
      <c r="E1064" s="64">
        <v>42517</v>
      </c>
      <c r="F1064" s="67" t="s">
        <v>1476</v>
      </c>
      <c r="G1064" s="995" t="s">
        <v>929</v>
      </c>
      <c r="H1064" s="898" t="s">
        <v>1567</v>
      </c>
      <c r="I1064" s="446"/>
      <c r="J1064" s="446"/>
      <c r="K1064" s="437"/>
      <c r="L1064" s="446"/>
      <c r="M1064" s="65">
        <v>837658200</v>
      </c>
      <c r="N1064" s="66" t="s">
        <v>87</v>
      </c>
      <c r="O1064" s="66" t="s">
        <v>26</v>
      </c>
      <c r="P1064" s="85" t="str">
        <f>IF(AND('331-CT'!$E$7=TH!H1064,OR(N1064="331",O1064="331")),"x","")</f>
        <v/>
      </c>
      <c r="Q1064" s="85" t="str">
        <f>IF(AND(B1064='111'!$L$11,OR($N1064=$Q$7,$O1064=$Q$7)),"x","")</f>
        <v/>
      </c>
      <c r="R1064" s="85" t="str">
        <f>IF(AND($N1064=$Q$7,$B1064&lt;'111'!$L$11),"x","")</f>
        <v/>
      </c>
      <c r="S1064" s="85" t="str">
        <f>IF(AND($O1064=$Q$7,$B1064&lt;'111'!$L$11),"x","")</f>
        <v/>
      </c>
      <c r="T1064" s="85" t="str">
        <f>IF(ISERROR(FIND('112'!$M$9,G1064,1)),"",IF((AND(FIND('112'!$M$9,G1064,1)&gt;=1,B1064='112'!$K$9,OR($N1064='112'!$I$6,$O1064='112'!$I$6))),"x",""))</f>
        <v/>
      </c>
      <c r="U1064" s="85" t="str">
        <f>IF(ISERROR(FIND('112'!$M$9,G1064,1)),"",IF((AND(LEFT(G1064,2)=LEFT('112'!$M$9,2),B1064&lt;'112'!$K$9,$N1064='112'!$I$6)),"x",""))</f>
        <v/>
      </c>
      <c r="V1064" s="85" t="str">
        <f>IF(ISERROR(FIND('112'!$M$9,G1064,1)),"",IF((AND(RIGHT(G1064,2)=RIGHT('112'!$M$9,2),B1064&lt;'112'!$K$9,$O1064='112'!$I$6)),"x",""))</f>
        <v/>
      </c>
      <c r="W1064" s="85" t="str">
        <f>IF(AND('341-CT'!$H$9=H1064,OR(LEFT(N1064,3)=$W$7,LEFT(O1064,3)=$W$7)),"x","")</f>
        <v>x</v>
      </c>
      <c r="X1064" s="85" t="str">
        <f>IF(OR(TH!N1064=TH!$X$7,O1064=TH!$X$7),"x","")</f>
        <v/>
      </c>
      <c r="Y1064" s="85" t="str">
        <f>IF(AND(OR(N1064="131",O1064="131"),H1064='131-CT'!$H$9),"x","")</f>
        <v/>
      </c>
      <c r="Z1064" s="85"/>
      <c r="AA1064" s="85" t="str">
        <f>IF(AND(MONTH(E1064)='IN-NX'!$J$5,'IN-NX'!$D$7=D1064),"x","")</f>
        <v/>
      </c>
      <c r="AB1064" s="85" t="str">
        <f>IF(AND(OR(LEFT(TH!N1064,2)="15",LEFT(TH!O1064,2)="15"),'152-CT'!$J$8=TH!F1064),"x","")</f>
        <v/>
      </c>
      <c r="AC1064" s="85" t="str">
        <f>IF(AND(OR(LEFT(TH!N1064,2)="15",LEFT(TH!O1064,2)="15"),TK!$E$7=TH!F1064),"x","")</f>
        <v/>
      </c>
      <c r="AD1064" s="85" t="str">
        <f>IF(AND(N1064="1521",MONTH(C1064)='BK-NL'!$M$11),"x","")</f>
        <v/>
      </c>
    </row>
    <row r="1065" spans="1:30" ht="15.75" customHeight="1">
      <c r="A1065" s="342" t="str">
        <f>IF(B1065&lt;&gt;"",IF(AND(B1065='IN-TC'!$S$4,OR(TH!N1065="1111",TH!O1065="1111")),TH!D1065,""),"")</f>
        <v/>
      </c>
      <c r="B1065" s="63">
        <f t="shared" si="140"/>
        <v>5</v>
      </c>
      <c r="C1065" s="64">
        <f t="shared" si="139"/>
        <v>42518</v>
      </c>
      <c r="D1065" s="320" t="s">
        <v>920</v>
      </c>
      <c r="E1065" s="64">
        <v>42518</v>
      </c>
      <c r="F1065" s="67" t="s">
        <v>1157</v>
      </c>
      <c r="G1065" s="995" t="s">
        <v>929</v>
      </c>
      <c r="H1065" s="74" t="s">
        <v>772</v>
      </c>
      <c r="I1065" s="446"/>
      <c r="J1065" s="446"/>
      <c r="K1065" s="437"/>
      <c r="L1065" s="446"/>
      <c r="M1065" s="65">
        <v>80000000</v>
      </c>
      <c r="N1065" s="66" t="s">
        <v>63</v>
      </c>
      <c r="O1065" s="66" t="s">
        <v>26</v>
      </c>
      <c r="P1065" s="85" t="str">
        <f>IF(AND('331-CT'!$E$7=TH!H1065,OR(N1065="331",O1065="331")),"x","")</f>
        <v/>
      </c>
      <c r="Q1065" s="85" t="str">
        <f>IF(AND(B1065='111'!$L$11,OR($N1065=$Q$7,$O1065=$Q$7)),"x","")</f>
        <v/>
      </c>
      <c r="R1065" s="85" t="str">
        <f>IF(AND($N1065=$Q$7,$B1065&lt;'111'!$L$11),"x","")</f>
        <v/>
      </c>
      <c r="S1065" s="85" t="str">
        <f>IF(AND($O1065=$Q$7,$B1065&lt;'111'!$L$11),"x","")</f>
        <v/>
      </c>
      <c r="T1065" s="85" t="str">
        <f>IF(ISERROR(FIND('112'!$M$9,G1065,1)),"",IF((AND(FIND('112'!$M$9,G1065,1)&gt;=1,B1065='112'!$K$9,OR($N1065='112'!$I$6,$O1065='112'!$I$6))),"x",""))</f>
        <v/>
      </c>
      <c r="U1065" s="85" t="str">
        <f>IF(ISERROR(FIND('112'!$M$9,G1065,1)),"",IF((AND(LEFT(G1065,2)=LEFT('112'!$M$9,2),B1065&lt;'112'!$K$9,$N1065='112'!$I$6)),"x",""))</f>
        <v/>
      </c>
      <c r="V1065" s="85" t="str">
        <f>IF(ISERROR(FIND('112'!$M$9,G1065,1)),"",IF((AND(RIGHT(G1065,2)=RIGHT('112'!$M$9,2),B1065&lt;'112'!$K$9,$O1065='112'!$I$6)),"x",""))</f>
        <v/>
      </c>
      <c r="W1065" s="85" t="str">
        <f>IF(AND('341-CT'!$H$9=H1065,OR(LEFT(N1065,3)=$W$7,LEFT(O1065,3)=$W$7)),"x","")</f>
        <v/>
      </c>
      <c r="X1065" s="85" t="str">
        <f>IF(OR(TH!N1065=TH!$X$7,O1065=TH!$X$7),"x","")</f>
        <v/>
      </c>
      <c r="Y1065" s="85" t="str">
        <f>IF(AND(OR(N1065="131",O1065="131"),H1065='131-CT'!$H$9),"x","")</f>
        <v/>
      </c>
      <c r="Z1065" s="85"/>
      <c r="AA1065" s="85" t="str">
        <f>IF(AND(MONTH(E1065)='IN-NX'!$J$5,'IN-NX'!$D$7=D1065),"x","")</f>
        <v/>
      </c>
      <c r="AB1065" s="85" t="str">
        <f>IF(AND(OR(LEFT(TH!N1065,2)="15",LEFT(TH!O1065,2)="15"),'152-CT'!$J$8=TH!F1065),"x","")</f>
        <v/>
      </c>
      <c r="AC1065" s="85" t="str">
        <f>IF(AND(OR(LEFT(TH!N1065,2)="15",LEFT(TH!O1065,2)="15"),TK!$E$7=TH!F1065),"x","")</f>
        <v/>
      </c>
      <c r="AD1065" s="85" t="str">
        <f>IF(AND(N1065="1521",MONTH(C1065)='BK-NL'!$M$11),"x","")</f>
        <v/>
      </c>
    </row>
    <row r="1066" spans="1:30" ht="15.75" customHeight="1">
      <c r="A1066" s="342" t="str">
        <f>IF(B1066&lt;&gt;"",IF(AND(B1066='IN-TC'!$S$4,OR(TH!N1066="1111",TH!O1066="1111")),TH!D1066,""),"")</f>
        <v/>
      </c>
      <c r="B1066" s="63">
        <f t="shared" si="140"/>
        <v>5</v>
      </c>
      <c r="C1066" s="64">
        <f t="shared" ref="C1066:C1076" si="141">E1066</f>
        <v>42518</v>
      </c>
      <c r="D1066" s="320" t="s">
        <v>708</v>
      </c>
      <c r="E1066" s="64">
        <v>42518</v>
      </c>
      <c r="F1066" s="67" t="s">
        <v>1478</v>
      </c>
      <c r="G1066" s="995" t="s">
        <v>929</v>
      </c>
      <c r="H1066" s="898" t="s">
        <v>1567</v>
      </c>
      <c r="I1066" s="446"/>
      <c r="J1066" s="446"/>
      <c r="K1066" s="437"/>
      <c r="L1066" s="446"/>
      <c r="M1066" s="65">
        <v>1146783</v>
      </c>
      <c r="N1066" s="66" t="s">
        <v>99</v>
      </c>
      <c r="O1066" s="66" t="s">
        <v>26</v>
      </c>
      <c r="P1066" s="85" t="str">
        <f>IF(AND('331-CT'!$E$7=TH!H1066,OR(N1066="331",O1066="331")),"x","")</f>
        <v/>
      </c>
      <c r="Q1066" s="85" t="str">
        <f>IF(AND(B1066='111'!$L$11,OR($N1066=$Q$7,$O1066=$Q$7)),"x","")</f>
        <v/>
      </c>
      <c r="R1066" s="85" t="str">
        <f>IF(AND($N1066=$Q$7,$B1066&lt;'111'!$L$11),"x","")</f>
        <v/>
      </c>
      <c r="S1066" s="85" t="str">
        <f>IF(AND($O1066=$Q$7,$B1066&lt;'111'!$L$11),"x","")</f>
        <v/>
      </c>
      <c r="T1066" s="85" t="str">
        <f>IF(ISERROR(FIND('112'!$M$9,G1066,1)),"",IF((AND(FIND('112'!$M$9,G1066,1)&gt;=1,B1066='112'!$K$9,OR($N1066='112'!$I$6,$O1066='112'!$I$6))),"x",""))</f>
        <v/>
      </c>
      <c r="U1066" s="85" t="str">
        <f>IF(ISERROR(FIND('112'!$M$9,G1066,1)),"",IF((AND(LEFT(G1066,2)=LEFT('112'!$M$9,2),B1066&lt;'112'!$K$9,$N1066='112'!$I$6)),"x",""))</f>
        <v/>
      </c>
      <c r="V1066" s="85" t="str">
        <f>IF(ISERROR(FIND('112'!$M$9,G1066,1)),"",IF((AND(RIGHT(G1066,2)=RIGHT('112'!$M$9,2),B1066&lt;'112'!$K$9,$O1066='112'!$I$6)),"x",""))</f>
        <v/>
      </c>
      <c r="W1066" s="85" t="str">
        <f>IF(AND('341-CT'!$H$9=H1066,OR(LEFT(N1066,3)=$W$7,LEFT(O1066,3)=$W$7)),"x","")</f>
        <v/>
      </c>
      <c r="X1066" s="85" t="str">
        <f>IF(OR(TH!N1066=TH!$X$7,O1066=TH!$X$7),"x","")</f>
        <v/>
      </c>
      <c r="Y1066" s="85" t="str">
        <f>IF(AND(OR(N1066="131",O1066="131"),H1066='131-CT'!$H$9),"x","")</f>
        <v/>
      </c>
      <c r="Z1066" s="85"/>
      <c r="AA1066" s="85" t="str">
        <f>IF(AND(MONTH(E1066)='IN-NX'!$J$5,'IN-NX'!$D$7=D1066),"x","")</f>
        <v/>
      </c>
      <c r="AB1066" s="85" t="str">
        <f>IF(AND(OR(LEFT(TH!N1066,2)="15",LEFT(TH!O1066,2)="15"),'152-CT'!$J$8=TH!F1066),"x","")</f>
        <v/>
      </c>
      <c r="AC1066" s="85" t="str">
        <f>IF(AND(OR(LEFT(TH!N1066,2)="15",LEFT(TH!O1066,2)="15"),TK!$E$7=TH!F1066),"x","")</f>
        <v/>
      </c>
      <c r="AD1066" s="85" t="str">
        <f>IF(AND(N1066="1521",MONTH(C1066)='BK-NL'!$M$11),"x","")</f>
        <v/>
      </c>
    </row>
    <row r="1067" spans="1:30" ht="15.75" customHeight="1">
      <c r="A1067" s="342" t="str">
        <f>IF(B1067&lt;&gt;"",IF(AND(B1067='IN-TC'!$S$4,OR(TH!N1067="1111",TH!O1067="1111")),TH!D1067,""),"")</f>
        <v/>
      </c>
      <c r="B1067" s="63">
        <f t="shared" si="140"/>
        <v>5</v>
      </c>
      <c r="C1067" s="64">
        <f t="shared" si="141"/>
        <v>42506</v>
      </c>
      <c r="D1067" s="320" t="s">
        <v>708</v>
      </c>
      <c r="E1067" s="64">
        <v>42506</v>
      </c>
      <c r="F1067" s="82" t="s">
        <v>1236</v>
      </c>
      <c r="G1067" s="995" t="s">
        <v>928</v>
      </c>
      <c r="H1067" s="74"/>
      <c r="I1067" s="446"/>
      <c r="J1067" s="446"/>
      <c r="K1067" s="437"/>
      <c r="L1067" s="446"/>
      <c r="M1067" s="65">
        <v>50000</v>
      </c>
      <c r="N1067" s="66" t="s">
        <v>101</v>
      </c>
      <c r="O1067" s="66" t="s">
        <v>26</v>
      </c>
      <c r="P1067" s="85" t="str">
        <f>IF(AND('331-CT'!$E$7=TH!H1067,OR(N1067="331",O1067="331")),"x","")</f>
        <v/>
      </c>
      <c r="Q1067" s="85" t="str">
        <f>IF(AND(B1067='111'!$L$11,OR($N1067=$Q$7,$O1067=$Q$7)),"x","")</f>
        <v/>
      </c>
      <c r="R1067" s="85" t="str">
        <f>IF(AND($N1067=$Q$7,$B1067&lt;'111'!$L$11),"x","")</f>
        <v/>
      </c>
      <c r="S1067" s="85" t="str">
        <f>IF(AND($O1067=$Q$7,$B1067&lt;'111'!$L$11),"x","")</f>
        <v/>
      </c>
      <c r="T1067" s="85" t="str">
        <f>IF(ISERROR(FIND('112'!$M$9,G1067,1)),"",IF((AND(FIND('112'!$M$9,G1067,1)&gt;=1,B1067='112'!$K$9,OR($N1067='112'!$I$6,$O1067='112'!$I$6))),"x",""))</f>
        <v>x</v>
      </c>
      <c r="U1067" s="85" t="str">
        <f>IF(ISERROR(FIND('112'!$M$9,G1067,1)),"",IF((AND(LEFT(G1067,2)=LEFT('112'!$M$9,2),B1067&lt;'112'!$K$9,$N1067='112'!$I$6)),"x",""))</f>
        <v/>
      </c>
      <c r="V1067" s="85" t="str">
        <f>IF(ISERROR(FIND('112'!$M$9,G1067,1)),"",IF((AND(RIGHT(G1067,2)=RIGHT('112'!$M$9,2),B1067&lt;'112'!$K$9,$O1067='112'!$I$6)),"x",""))</f>
        <v/>
      </c>
      <c r="W1067" s="85" t="str">
        <f>IF(AND('341-CT'!$H$9=H1067,OR(LEFT(N1067,3)=$W$7,LEFT(O1067,3)=$W$7)),"x","")</f>
        <v/>
      </c>
      <c r="X1067" s="85" t="str">
        <f>IF(OR(TH!N1067=TH!$X$7,O1067=TH!$X$7),"x","")</f>
        <v/>
      </c>
      <c r="Y1067" s="85" t="str">
        <f>IF(AND(OR(N1067="131",O1067="131"),H1067='131-CT'!$H$9),"x","")</f>
        <v/>
      </c>
      <c r="Z1067" s="85"/>
      <c r="AA1067" s="85" t="str">
        <f>IF(AND(MONTH(E1067)='IN-NX'!$J$5,'IN-NX'!$D$7=D1067),"x","")</f>
        <v/>
      </c>
      <c r="AB1067" s="85" t="str">
        <f>IF(AND(OR(LEFT(TH!N1067,2)="15",LEFT(TH!O1067,2)="15"),'152-CT'!$J$8=TH!F1067),"x","")</f>
        <v/>
      </c>
      <c r="AC1067" s="85" t="str">
        <f>IF(AND(OR(LEFT(TH!N1067,2)="15",LEFT(TH!O1067,2)="15"),TK!$E$7=TH!F1067),"x","")</f>
        <v/>
      </c>
      <c r="AD1067" s="85" t="str">
        <f>IF(AND(N1067="1521",MONTH(C1067)='BK-NL'!$M$11),"x","")</f>
        <v/>
      </c>
    </row>
    <row r="1068" spans="1:30" ht="15.75" customHeight="1">
      <c r="A1068" s="342" t="str">
        <f>IF(B1068&lt;&gt;"",IF(AND(B1068='IN-TC'!$S$4,OR(TH!N1068="1111",TH!O1068="1111")),TH!D1068,""),"")</f>
        <v/>
      </c>
      <c r="B1068" s="63">
        <f t="shared" si="140"/>
        <v>5</v>
      </c>
      <c r="C1068" s="64">
        <f t="shared" si="141"/>
        <v>42506</v>
      </c>
      <c r="D1068" s="320" t="s">
        <v>708</v>
      </c>
      <c r="E1068" s="64">
        <v>42506</v>
      </c>
      <c r="F1068" s="82" t="s">
        <v>1219</v>
      </c>
      <c r="G1068" s="995" t="s">
        <v>928</v>
      </c>
      <c r="H1068" s="74"/>
      <c r="I1068" s="446"/>
      <c r="J1068" s="446"/>
      <c r="K1068" s="437"/>
      <c r="L1068" s="446"/>
      <c r="M1068" s="65">
        <v>5000</v>
      </c>
      <c r="N1068" s="66" t="s">
        <v>9</v>
      </c>
      <c r="O1068" s="66" t="s">
        <v>26</v>
      </c>
      <c r="P1068" s="85" t="str">
        <f>IF(AND('331-CT'!$E$7=TH!H1068,OR(N1068="331",O1068="331")),"x","")</f>
        <v/>
      </c>
      <c r="Q1068" s="85" t="str">
        <f>IF(AND(B1068='111'!$L$11,OR($N1068=$Q$7,$O1068=$Q$7)),"x","")</f>
        <v/>
      </c>
      <c r="R1068" s="85" t="str">
        <f>IF(AND($N1068=$Q$7,$B1068&lt;'111'!$L$11),"x","")</f>
        <v/>
      </c>
      <c r="S1068" s="85" t="str">
        <f>IF(AND($O1068=$Q$7,$B1068&lt;'111'!$L$11),"x","")</f>
        <v/>
      </c>
      <c r="T1068" s="85" t="str">
        <f>IF(ISERROR(FIND('112'!$M$9,G1068,1)),"",IF((AND(FIND('112'!$M$9,G1068,1)&gt;=1,B1068='112'!$K$9,OR($N1068='112'!$I$6,$O1068='112'!$I$6))),"x",""))</f>
        <v>x</v>
      </c>
      <c r="U1068" s="85" t="str">
        <f>IF(ISERROR(FIND('112'!$M$9,G1068,1)),"",IF((AND(LEFT(G1068,2)=LEFT('112'!$M$9,2),B1068&lt;'112'!$K$9,$N1068='112'!$I$6)),"x",""))</f>
        <v/>
      </c>
      <c r="V1068" s="85" t="str">
        <f>IF(ISERROR(FIND('112'!$M$9,G1068,1)),"",IF((AND(RIGHT(G1068,2)=RIGHT('112'!$M$9,2),B1068&lt;'112'!$K$9,$O1068='112'!$I$6)),"x",""))</f>
        <v/>
      </c>
      <c r="W1068" s="85" t="str">
        <f>IF(AND('341-CT'!$H$9=H1068,OR(LEFT(N1068,3)=$W$7,LEFT(O1068,3)=$W$7)),"x","")</f>
        <v/>
      </c>
      <c r="X1068" s="85" t="str">
        <f>IF(OR(TH!N1068=TH!$X$7,O1068=TH!$X$7),"x","")</f>
        <v/>
      </c>
      <c r="Y1068" s="85" t="str">
        <f>IF(AND(OR(N1068="131",O1068="131"),H1068='131-CT'!$H$9),"x","")</f>
        <v/>
      </c>
      <c r="Z1068" s="85"/>
      <c r="AA1068" s="85" t="str">
        <f>IF(AND(MONTH(E1068)='IN-NX'!$J$5,'IN-NX'!$D$7=D1068),"x","")</f>
        <v/>
      </c>
      <c r="AB1068" s="85" t="str">
        <f>IF(AND(OR(LEFT(TH!N1068,2)="15",LEFT(TH!O1068,2)="15"),'152-CT'!$J$8=TH!F1068),"x","")</f>
        <v/>
      </c>
      <c r="AC1068" s="85" t="str">
        <f>IF(AND(OR(LEFT(TH!N1068,2)="15",LEFT(TH!O1068,2)="15"),TK!$E$7=TH!F1068),"x","")</f>
        <v/>
      </c>
      <c r="AD1068" s="85" t="str">
        <f>IF(AND(N1068="1521",MONTH(C1068)='BK-NL'!$M$11),"x","")</f>
        <v/>
      </c>
    </row>
    <row r="1069" spans="1:30" ht="15.75" customHeight="1">
      <c r="A1069" s="342" t="str">
        <f>IF(B1069&lt;&gt;"",IF(AND(B1069='IN-TC'!$S$4,OR(TH!N1069="1111",TH!O1069="1111")),TH!D1069,""),"")</f>
        <v/>
      </c>
      <c r="B1069" s="63">
        <f t="shared" si="140"/>
        <v>5</v>
      </c>
      <c r="C1069" s="64">
        <f t="shared" si="141"/>
        <v>42506</v>
      </c>
      <c r="D1069" s="320" t="s">
        <v>708</v>
      </c>
      <c r="E1069" s="64">
        <v>42506</v>
      </c>
      <c r="F1069" s="321" t="s">
        <v>1237</v>
      </c>
      <c r="G1069" s="995" t="s">
        <v>928</v>
      </c>
      <c r="H1069" s="74"/>
      <c r="I1069" s="446"/>
      <c r="J1069" s="446"/>
      <c r="K1069" s="437"/>
      <c r="L1069" s="446"/>
      <c r="M1069" s="65">
        <v>50000</v>
      </c>
      <c r="N1069" s="66" t="s">
        <v>101</v>
      </c>
      <c r="O1069" s="66" t="s">
        <v>26</v>
      </c>
      <c r="P1069" s="85" t="str">
        <f>IF(AND('331-CT'!$E$7=TH!H1069,OR(N1069="331",O1069="331")),"x","")</f>
        <v/>
      </c>
      <c r="Q1069" s="85" t="str">
        <f>IF(AND(B1069='111'!$L$11,OR($N1069=$Q$7,$O1069=$Q$7)),"x","")</f>
        <v/>
      </c>
      <c r="R1069" s="85" t="str">
        <f>IF(AND($N1069=$Q$7,$B1069&lt;'111'!$L$11),"x","")</f>
        <v/>
      </c>
      <c r="S1069" s="85" t="str">
        <f>IF(AND($O1069=$Q$7,$B1069&lt;'111'!$L$11),"x","")</f>
        <v/>
      </c>
      <c r="T1069" s="85" t="str">
        <f>IF(ISERROR(FIND('112'!$M$9,G1069,1)),"",IF((AND(FIND('112'!$M$9,G1069,1)&gt;=1,B1069='112'!$K$9,OR($N1069='112'!$I$6,$O1069='112'!$I$6))),"x",""))</f>
        <v>x</v>
      </c>
      <c r="U1069" s="85" t="str">
        <f>IF(ISERROR(FIND('112'!$M$9,G1069,1)),"",IF((AND(LEFT(G1069,2)=LEFT('112'!$M$9,2),B1069&lt;'112'!$K$9,$N1069='112'!$I$6)),"x",""))</f>
        <v/>
      </c>
      <c r="V1069" s="85" t="str">
        <f>IF(ISERROR(FIND('112'!$M$9,G1069,1)),"",IF((AND(RIGHT(G1069,2)=RIGHT('112'!$M$9,2),B1069&lt;'112'!$K$9,$O1069='112'!$I$6)),"x",""))</f>
        <v/>
      </c>
      <c r="W1069" s="85" t="str">
        <f>IF(AND('341-CT'!$H$9=H1069,OR(LEFT(N1069,3)=$W$7,LEFT(O1069,3)=$W$7)),"x","")</f>
        <v/>
      </c>
      <c r="X1069" s="85" t="str">
        <f>IF(OR(TH!N1069=TH!$X$7,O1069=TH!$X$7),"x","")</f>
        <v/>
      </c>
      <c r="Y1069" s="85" t="str">
        <f>IF(AND(OR(N1069="131",O1069="131"),H1069='131-CT'!$H$9),"x","")</f>
        <v/>
      </c>
      <c r="Z1069" s="85"/>
      <c r="AA1069" s="85" t="str">
        <f>IF(AND(MONTH(E1069)='IN-NX'!$J$5,'IN-NX'!$D$7=D1069),"x","")</f>
        <v/>
      </c>
      <c r="AB1069" s="85" t="str">
        <f>IF(AND(OR(LEFT(TH!N1069,2)="15",LEFT(TH!O1069,2)="15"),'152-CT'!$J$8=TH!F1069),"x","")</f>
        <v/>
      </c>
      <c r="AC1069" s="85" t="str">
        <f>IF(AND(OR(LEFT(TH!N1069,2)="15",LEFT(TH!O1069,2)="15"),TK!$E$7=TH!F1069),"x","")</f>
        <v/>
      </c>
      <c r="AD1069" s="85" t="str">
        <f>IF(AND(N1069="1521",MONTH(C1069)='BK-NL'!$M$11),"x","")</f>
        <v/>
      </c>
    </row>
    <row r="1070" spans="1:30" ht="15.75" customHeight="1">
      <c r="A1070" s="342" t="str">
        <f>IF(B1070&lt;&gt;"",IF(AND(B1070='IN-TC'!$S$4,OR(TH!N1070="1111",TH!O1070="1111")),TH!D1070,""),"")</f>
        <v/>
      </c>
      <c r="B1070" s="63">
        <f t="shared" si="140"/>
        <v>5</v>
      </c>
      <c r="C1070" s="64">
        <f t="shared" si="141"/>
        <v>42506</v>
      </c>
      <c r="D1070" s="320" t="s">
        <v>708</v>
      </c>
      <c r="E1070" s="64">
        <v>42506</v>
      </c>
      <c r="F1070" s="321" t="s">
        <v>1219</v>
      </c>
      <c r="G1070" s="995" t="s">
        <v>928</v>
      </c>
      <c r="H1070" s="74"/>
      <c r="I1070" s="446"/>
      <c r="J1070" s="446"/>
      <c r="K1070" s="437"/>
      <c r="L1070" s="446"/>
      <c r="M1070" s="65">
        <v>5000</v>
      </c>
      <c r="N1070" s="66" t="s">
        <v>9</v>
      </c>
      <c r="O1070" s="66" t="s">
        <v>26</v>
      </c>
      <c r="P1070" s="85" t="str">
        <f>IF(AND('331-CT'!$E$7=TH!H1070,OR(N1070="331",O1070="331")),"x","")</f>
        <v/>
      </c>
      <c r="Q1070" s="85" t="str">
        <f>IF(AND(B1070='111'!$L$11,OR($N1070=$Q$7,$O1070=$Q$7)),"x","")</f>
        <v/>
      </c>
      <c r="R1070" s="85" t="str">
        <f>IF(AND($N1070=$Q$7,$B1070&lt;'111'!$L$11),"x","")</f>
        <v/>
      </c>
      <c r="S1070" s="85" t="str">
        <f>IF(AND($O1070=$Q$7,$B1070&lt;'111'!$L$11),"x","")</f>
        <v/>
      </c>
      <c r="T1070" s="85" t="str">
        <f>IF(ISERROR(FIND('112'!$M$9,G1070,1)),"",IF((AND(FIND('112'!$M$9,G1070,1)&gt;=1,B1070='112'!$K$9,OR($N1070='112'!$I$6,$O1070='112'!$I$6))),"x",""))</f>
        <v>x</v>
      </c>
      <c r="U1070" s="85" t="str">
        <f>IF(ISERROR(FIND('112'!$M$9,G1070,1)),"",IF((AND(LEFT(G1070,2)=LEFT('112'!$M$9,2),B1070&lt;'112'!$K$9,$N1070='112'!$I$6)),"x",""))</f>
        <v/>
      </c>
      <c r="V1070" s="85" t="str">
        <f>IF(ISERROR(FIND('112'!$M$9,G1070,1)),"",IF((AND(RIGHT(G1070,2)=RIGHT('112'!$M$9,2),B1070&lt;'112'!$K$9,$O1070='112'!$I$6)),"x",""))</f>
        <v/>
      </c>
      <c r="W1070" s="85" t="str">
        <f>IF(AND('341-CT'!$H$9=H1070,OR(LEFT(N1070,3)=$W$7,LEFT(O1070,3)=$W$7)),"x","")</f>
        <v/>
      </c>
      <c r="X1070" s="85" t="str">
        <f>IF(OR(TH!N1070=TH!$X$7,O1070=TH!$X$7),"x","")</f>
        <v/>
      </c>
      <c r="Y1070" s="85" t="str">
        <f>IF(AND(OR(N1070="131",O1070="131"),H1070='131-CT'!$H$9),"x","")</f>
        <v/>
      </c>
      <c r="Z1070" s="85"/>
      <c r="AA1070" s="85" t="str">
        <f>IF(AND(MONTH(E1070)='IN-NX'!$J$5,'IN-NX'!$D$7=D1070),"x","")</f>
        <v/>
      </c>
      <c r="AB1070" s="85" t="str">
        <f>IF(AND(OR(LEFT(TH!N1070,2)="15",LEFT(TH!O1070,2)="15"),'152-CT'!$J$8=TH!F1070),"x","")</f>
        <v/>
      </c>
      <c r="AC1070" s="85" t="str">
        <f>IF(AND(OR(LEFT(TH!N1070,2)="15",LEFT(TH!O1070,2)="15"),TK!$E$7=TH!F1070),"x","")</f>
        <v/>
      </c>
      <c r="AD1070" s="85" t="str">
        <f>IF(AND(N1070="1521",MONTH(C1070)='BK-NL'!$M$11),"x","")</f>
        <v/>
      </c>
    </row>
    <row r="1071" spans="1:30" ht="15.75" customHeight="1">
      <c r="A1071" s="342" t="str">
        <f>IF(B1071&lt;&gt;"",IF(AND(B1071='IN-TC'!$S$4,OR(TH!N1071="1111",TH!O1071="1111")),TH!D1071,""),"")</f>
        <v/>
      </c>
      <c r="B1071" s="63">
        <f t="shared" si="140"/>
        <v>5</v>
      </c>
      <c r="C1071" s="64">
        <f t="shared" si="141"/>
        <v>42509</v>
      </c>
      <c r="D1071" s="320" t="s">
        <v>708</v>
      </c>
      <c r="E1071" s="64">
        <v>42509</v>
      </c>
      <c r="F1071" s="67" t="s">
        <v>1211</v>
      </c>
      <c r="G1071" s="995" t="s">
        <v>928</v>
      </c>
      <c r="H1071" s="7" t="s">
        <v>737</v>
      </c>
      <c r="I1071" s="446"/>
      <c r="J1071" s="446"/>
      <c r="K1071" s="437"/>
      <c r="L1071" s="446"/>
      <c r="M1071" s="65">
        <v>5278457</v>
      </c>
      <c r="N1071" s="66" t="s">
        <v>99</v>
      </c>
      <c r="O1071" s="66" t="s">
        <v>26</v>
      </c>
      <c r="P1071" s="85" t="str">
        <f>IF(AND('331-CT'!$E$7=TH!H1071,OR(N1071="331",O1071="331")),"x","")</f>
        <v/>
      </c>
      <c r="Q1071" s="85" t="str">
        <f>IF(AND(B1071='111'!$L$11,OR($N1071=$Q$7,$O1071=$Q$7)),"x","")</f>
        <v/>
      </c>
      <c r="R1071" s="85" t="str">
        <f>IF(AND($N1071=$Q$7,$B1071&lt;'111'!$L$11),"x","")</f>
        <v/>
      </c>
      <c r="S1071" s="85" t="str">
        <f>IF(AND($O1071=$Q$7,$B1071&lt;'111'!$L$11),"x","")</f>
        <v/>
      </c>
      <c r="T1071" s="85" t="str">
        <f>IF(ISERROR(FIND('112'!$M$9,G1071,1)),"",IF((AND(FIND('112'!$M$9,G1071,1)&gt;=1,B1071='112'!$K$9,OR($N1071='112'!$I$6,$O1071='112'!$I$6))),"x",""))</f>
        <v>x</v>
      </c>
      <c r="U1071" s="85" t="str">
        <f>IF(ISERROR(FIND('112'!$M$9,G1071,1)),"",IF((AND(LEFT(G1071,2)=LEFT('112'!$M$9,2),B1071&lt;'112'!$K$9,$N1071='112'!$I$6)),"x",""))</f>
        <v/>
      </c>
      <c r="V1071" s="85" t="str">
        <f>IF(ISERROR(FIND('112'!$M$9,G1071,1)),"",IF((AND(RIGHT(G1071,2)=RIGHT('112'!$M$9,2),B1071&lt;'112'!$K$9,$O1071='112'!$I$6)),"x",""))</f>
        <v/>
      </c>
      <c r="W1071" s="85" t="str">
        <f>IF(AND('341-CT'!$H$9=H1071,OR(LEFT(N1071,3)=$W$7,LEFT(O1071,3)=$W$7)),"x","")</f>
        <v/>
      </c>
      <c r="X1071" s="85" t="str">
        <f>IF(OR(TH!N1071=TH!$X$7,O1071=TH!$X$7),"x","")</f>
        <v/>
      </c>
      <c r="Y1071" s="85" t="str">
        <f>IF(AND(OR(N1071="131",O1071="131"),H1071='131-CT'!$H$9),"x","")</f>
        <v/>
      </c>
      <c r="Z1071" s="85"/>
      <c r="AA1071" s="85" t="str">
        <f>IF(AND(MONTH(E1071)='IN-NX'!$J$5,'IN-NX'!$D$7=D1071),"x","")</f>
        <v/>
      </c>
      <c r="AB1071" s="85" t="str">
        <f>IF(AND(OR(LEFT(TH!N1071,2)="15",LEFT(TH!O1071,2)="15"),'152-CT'!$J$8=TH!F1071),"x","")</f>
        <v/>
      </c>
      <c r="AC1071" s="85" t="str">
        <f>IF(AND(OR(LEFT(TH!N1071,2)="15",LEFT(TH!O1071,2)="15"),TK!$E$7=TH!F1071),"x","")</f>
        <v/>
      </c>
      <c r="AD1071" s="85" t="str">
        <f>IF(AND(N1071="1521",MONTH(C1071)='BK-NL'!$M$11),"x","")</f>
        <v/>
      </c>
    </row>
    <row r="1072" spans="1:30" ht="15.75" customHeight="1">
      <c r="A1072" s="342" t="str">
        <f>IF(B1072&lt;&gt;"",IF(AND(B1072='IN-TC'!$S$4,OR(TH!N1072="1111",TH!O1072="1111")),TH!D1072,""),"")</f>
        <v/>
      </c>
      <c r="B1072" s="63">
        <f t="shared" si="140"/>
        <v>5</v>
      </c>
      <c r="C1072" s="64">
        <f t="shared" si="141"/>
        <v>42509</v>
      </c>
      <c r="D1072" s="320" t="s">
        <v>708</v>
      </c>
      <c r="E1072" s="64">
        <v>42509</v>
      </c>
      <c r="F1072" s="67" t="s">
        <v>1211</v>
      </c>
      <c r="G1072" s="995" t="s">
        <v>928</v>
      </c>
      <c r="H1072" s="7" t="s">
        <v>738</v>
      </c>
      <c r="I1072" s="446"/>
      <c r="J1072" s="446"/>
      <c r="K1072" s="437"/>
      <c r="L1072" s="446"/>
      <c r="M1072" s="65">
        <v>4615999</v>
      </c>
      <c r="N1072" s="66" t="s">
        <v>99</v>
      </c>
      <c r="O1072" s="66" t="s">
        <v>26</v>
      </c>
      <c r="P1072" s="85" t="str">
        <f>IF(AND('331-CT'!$E$7=TH!H1072,OR(N1072="331",O1072="331")),"x","")</f>
        <v/>
      </c>
      <c r="Q1072" s="85" t="str">
        <f>IF(AND(B1072='111'!$L$11,OR($N1072=$Q$7,$O1072=$Q$7)),"x","")</f>
        <v/>
      </c>
      <c r="R1072" s="85" t="str">
        <f>IF(AND($N1072=$Q$7,$B1072&lt;'111'!$L$11),"x","")</f>
        <v/>
      </c>
      <c r="S1072" s="85" t="str">
        <f>IF(AND($O1072=$Q$7,$B1072&lt;'111'!$L$11),"x","")</f>
        <v/>
      </c>
      <c r="T1072" s="85" t="str">
        <f>IF(ISERROR(FIND('112'!$M$9,G1072,1)),"",IF((AND(FIND('112'!$M$9,G1072,1)&gt;=1,B1072='112'!$K$9,OR($N1072='112'!$I$6,$O1072='112'!$I$6))),"x",""))</f>
        <v>x</v>
      </c>
      <c r="U1072" s="85" t="str">
        <f>IF(ISERROR(FIND('112'!$M$9,G1072,1)),"",IF((AND(LEFT(G1072,2)=LEFT('112'!$M$9,2),B1072&lt;'112'!$K$9,$N1072='112'!$I$6)),"x",""))</f>
        <v/>
      </c>
      <c r="V1072" s="85" t="str">
        <f>IF(ISERROR(FIND('112'!$M$9,G1072,1)),"",IF((AND(RIGHT(G1072,2)=RIGHT('112'!$M$9,2),B1072&lt;'112'!$K$9,$O1072='112'!$I$6)),"x",""))</f>
        <v/>
      </c>
      <c r="W1072" s="85" t="str">
        <f>IF(AND('341-CT'!$H$9=H1072,OR(LEFT(N1072,3)=$W$7,LEFT(O1072,3)=$W$7)),"x","")</f>
        <v/>
      </c>
      <c r="X1072" s="85" t="str">
        <f>IF(OR(TH!N1072=TH!$X$7,O1072=TH!$X$7),"x","")</f>
        <v/>
      </c>
      <c r="Y1072" s="85" t="str">
        <f>IF(AND(OR(N1072="131",O1072="131"),H1072='131-CT'!$H$9),"x","")</f>
        <v/>
      </c>
      <c r="Z1072" s="85"/>
      <c r="AA1072" s="85" t="str">
        <f>IF(AND(MONTH(E1072)='IN-NX'!$J$5,'IN-NX'!$D$7=D1072),"x","")</f>
        <v/>
      </c>
      <c r="AB1072" s="85" t="str">
        <f>IF(AND(OR(LEFT(TH!N1072,2)="15",LEFT(TH!O1072,2)="15"),'152-CT'!$J$8=TH!F1072),"x","")</f>
        <v/>
      </c>
      <c r="AC1072" s="85" t="str">
        <f>IF(AND(OR(LEFT(TH!N1072,2)="15",LEFT(TH!O1072,2)="15"),TK!$E$7=TH!F1072),"x","")</f>
        <v/>
      </c>
      <c r="AD1072" s="85" t="str">
        <f>IF(AND(N1072="1521",MONTH(C1072)='BK-NL'!$M$11),"x","")</f>
        <v/>
      </c>
    </row>
    <row r="1073" spans="1:30" ht="15.75" customHeight="1">
      <c r="A1073" s="342" t="str">
        <f>IF(B1073&lt;&gt;"",IF(AND(B1073='IN-TC'!$S$4,OR(TH!N1073="1111",TH!O1073="1111")),TH!D1073,""),"")</f>
        <v/>
      </c>
      <c r="B1073" s="63">
        <f t="shared" si="140"/>
        <v>5</v>
      </c>
      <c r="C1073" s="64">
        <f t="shared" si="141"/>
        <v>42509</v>
      </c>
      <c r="D1073" s="320" t="s">
        <v>708</v>
      </c>
      <c r="E1073" s="64">
        <v>42509</v>
      </c>
      <c r="F1073" s="67" t="s">
        <v>1211</v>
      </c>
      <c r="G1073" s="995" t="s">
        <v>928</v>
      </c>
      <c r="H1073" s="7" t="s">
        <v>739</v>
      </c>
      <c r="I1073" s="446"/>
      <c r="J1073" s="446"/>
      <c r="K1073" s="437"/>
      <c r="L1073" s="446"/>
      <c r="M1073" s="65">
        <v>2458964</v>
      </c>
      <c r="N1073" s="66" t="s">
        <v>99</v>
      </c>
      <c r="O1073" s="66" t="s">
        <v>26</v>
      </c>
      <c r="P1073" s="85" t="str">
        <f>IF(AND('331-CT'!$E$7=TH!H1073,OR(N1073="331",O1073="331")),"x","")</f>
        <v/>
      </c>
      <c r="Q1073" s="85" t="str">
        <f>IF(AND(B1073='111'!$L$11,OR($N1073=$Q$7,$O1073=$Q$7)),"x","")</f>
        <v/>
      </c>
      <c r="R1073" s="85" t="str">
        <f>IF(AND($N1073=$Q$7,$B1073&lt;'111'!$L$11),"x","")</f>
        <v/>
      </c>
      <c r="S1073" s="85" t="str">
        <f>IF(AND($O1073=$Q$7,$B1073&lt;'111'!$L$11),"x","")</f>
        <v/>
      </c>
      <c r="T1073" s="85" t="str">
        <f>IF(ISERROR(FIND('112'!$M$9,G1073,1)),"",IF((AND(FIND('112'!$M$9,G1073,1)&gt;=1,B1073='112'!$K$9,OR($N1073='112'!$I$6,$O1073='112'!$I$6))),"x",""))</f>
        <v>x</v>
      </c>
      <c r="U1073" s="85" t="str">
        <f>IF(ISERROR(FIND('112'!$M$9,G1073,1)),"",IF((AND(LEFT(G1073,2)=LEFT('112'!$M$9,2),B1073&lt;'112'!$K$9,$N1073='112'!$I$6)),"x",""))</f>
        <v/>
      </c>
      <c r="V1073" s="85" t="str">
        <f>IF(ISERROR(FIND('112'!$M$9,G1073,1)),"",IF((AND(RIGHT(G1073,2)=RIGHT('112'!$M$9,2),B1073&lt;'112'!$K$9,$O1073='112'!$I$6)),"x",""))</f>
        <v/>
      </c>
      <c r="W1073" s="85" t="str">
        <f>IF(AND('341-CT'!$H$9=H1073,OR(LEFT(N1073,3)=$W$7,LEFT(O1073,3)=$W$7)),"x","")</f>
        <v/>
      </c>
      <c r="X1073" s="85" t="str">
        <f>IF(OR(TH!N1073=TH!$X$7,O1073=TH!$X$7),"x","")</f>
        <v/>
      </c>
      <c r="Y1073" s="85" t="str">
        <f>IF(AND(OR(N1073="131",O1073="131"),H1073='131-CT'!$H$9),"x","")</f>
        <v/>
      </c>
      <c r="Z1073" s="85"/>
      <c r="AA1073" s="85" t="str">
        <f>IF(AND(MONTH(E1073)='IN-NX'!$J$5,'IN-NX'!$D$7=D1073),"x","")</f>
        <v/>
      </c>
      <c r="AB1073" s="85" t="str">
        <f>IF(AND(OR(LEFT(TH!N1073,2)="15",LEFT(TH!O1073,2)="15"),'152-CT'!$J$8=TH!F1073),"x","")</f>
        <v/>
      </c>
      <c r="AC1073" s="85" t="str">
        <f>IF(AND(OR(LEFT(TH!N1073,2)="15",LEFT(TH!O1073,2)="15"),TK!$E$7=TH!F1073),"x","")</f>
        <v/>
      </c>
      <c r="AD1073" s="85" t="str">
        <f>IF(AND(N1073="1521",MONTH(C1073)='BK-NL'!$M$11),"x","")</f>
        <v/>
      </c>
    </row>
    <row r="1074" spans="1:30" ht="15.75" customHeight="1">
      <c r="A1074" s="342" t="str">
        <f>IF(B1074&lt;&gt;"",IF(AND(B1074='IN-TC'!$S$4,OR(TH!N1074="1111",TH!O1074="1111")),TH!D1074,""),"")</f>
        <v/>
      </c>
      <c r="B1074" s="63">
        <f t="shared" si="140"/>
        <v>5</v>
      </c>
      <c r="C1074" s="64">
        <f t="shared" si="141"/>
        <v>42509</v>
      </c>
      <c r="D1074" s="320" t="s">
        <v>708</v>
      </c>
      <c r="E1074" s="64">
        <v>42509</v>
      </c>
      <c r="F1074" s="67" t="s">
        <v>1211</v>
      </c>
      <c r="G1074" s="995" t="s">
        <v>928</v>
      </c>
      <c r="H1074" s="7" t="s">
        <v>740</v>
      </c>
      <c r="I1074" s="446"/>
      <c r="J1074" s="446"/>
      <c r="K1074" s="437"/>
      <c r="L1074" s="446"/>
      <c r="M1074" s="65">
        <v>3204226</v>
      </c>
      <c r="N1074" s="66" t="s">
        <v>99</v>
      </c>
      <c r="O1074" s="66" t="s">
        <v>26</v>
      </c>
      <c r="P1074" s="85" t="str">
        <f>IF(AND('331-CT'!$E$7=TH!H1074,OR(N1074="331",O1074="331")),"x","")</f>
        <v/>
      </c>
      <c r="Q1074" s="85" t="str">
        <f>IF(AND(B1074='111'!$L$11,OR($N1074=$Q$7,$O1074=$Q$7)),"x","")</f>
        <v/>
      </c>
      <c r="R1074" s="85" t="str">
        <f>IF(AND($N1074=$Q$7,$B1074&lt;'111'!$L$11),"x","")</f>
        <v/>
      </c>
      <c r="S1074" s="85" t="str">
        <f>IF(AND($O1074=$Q$7,$B1074&lt;'111'!$L$11),"x","")</f>
        <v/>
      </c>
      <c r="T1074" s="85" t="str">
        <f>IF(ISERROR(FIND('112'!$M$9,G1074,1)),"",IF((AND(FIND('112'!$M$9,G1074,1)&gt;=1,B1074='112'!$K$9,OR($N1074='112'!$I$6,$O1074='112'!$I$6))),"x",""))</f>
        <v>x</v>
      </c>
      <c r="U1074" s="85" t="str">
        <f>IF(ISERROR(FIND('112'!$M$9,G1074,1)),"",IF((AND(LEFT(G1074,2)=LEFT('112'!$M$9,2),B1074&lt;'112'!$K$9,$N1074='112'!$I$6)),"x",""))</f>
        <v/>
      </c>
      <c r="V1074" s="85" t="str">
        <f>IF(ISERROR(FIND('112'!$M$9,G1074,1)),"",IF((AND(RIGHT(G1074,2)=RIGHT('112'!$M$9,2),B1074&lt;'112'!$K$9,$O1074='112'!$I$6)),"x",""))</f>
        <v/>
      </c>
      <c r="W1074" s="85" t="str">
        <f>IF(AND('341-CT'!$H$9=H1074,OR(LEFT(N1074,3)=$W$7,LEFT(O1074,3)=$W$7)),"x","")</f>
        <v/>
      </c>
      <c r="X1074" s="85" t="str">
        <f>IF(OR(TH!N1074=TH!$X$7,O1074=TH!$X$7),"x","")</f>
        <v/>
      </c>
      <c r="Y1074" s="85" t="str">
        <f>IF(AND(OR(N1074="131",O1074="131"),H1074='131-CT'!$H$9),"x","")</f>
        <v/>
      </c>
      <c r="Z1074" s="85"/>
      <c r="AA1074" s="85" t="str">
        <f>IF(AND(MONTH(E1074)='IN-NX'!$J$5,'IN-NX'!$D$7=D1074),"x","")</f>
        <v/>
      </c>
      <c r="AB1074" s="85" t="str">
        <f>IF(AND(OR(LEFT(TH!N1074,2)="15",LEFT(TH!O1074,2)="15"),'152-CT'!$J$8=TH!F1074),"x","")</f>
        <v/>
      </c>
      <c r="AC1074" s="85" t="str">
        <f>IF(AND(OR(LEFT(TH!N1074,2)="15",LEFT(TH!O1074,2)="15"),TK!$E$7=TH!F1074),"x","")</f>
        <v/>
      </c>
      <c r="AD1074" s="85" t="str">
        <f>IF(AND(N1074="1521",MONTH(C1074)='BK-NL'!$M$11),"x","")</f>
        <v/>
      </c>
    </row>
    <row r="1075" spans="1:30" ht="15.75" customHeight="1">
      <c r="A1075" s="342" t="str">
        <f>IF(B1075&lt;&gt;"",IF(AND(B1075='IN-TC'!$S$4,OR(TH!N1075="1111",TH!O1075="1111")),TH!D1075,""),"")</f>
        <v/>
      </c>
      <c r="B1075" s="63">
        <f t="shared" si="140"/>
        <v>5</v>
      </c>
      <c r="C1075" s="64">
        <f t="shared" si="141"/>
        <v>42509</v>
      </c>
      <c r="D1075" s="320" t="s">
        <v>708</v>
      </c>
      <c r="E1075" s="64">
        <v>42509</v>
      </c>
      <c r="F1075" s="67" t="s">
        <v>1211</v>
      </c>
      <c r="G1075" s="995" t="s">
        <v>928</v>
      </c>
      <c r="H1075" s="7" t="s">
        <v>750</v>
      </c>
      <c r="I1075" s="446"/>
      <c r="J1075" s="446"/>
      <c r="K1075" s="437"/>
      <c r="L1075" s="446"/>
      <c r="M1075" s="65">
        <v>3897213</v>
      </c>
      <c r="N1075" s="66" t="s">
        <v>99</v>
      </c>
      <c r="O1075" s="66" t="s">
        <v>26</v>
      </c>
      <c r="P1075" s="85" t="str">
        <f>IF(AND('331-CT'!$E$7=TH!H1075,OR(N1075="331",O1075="331")),"x","")</f>
        <v/>
      </c>
      <c r="Q1075" s="85" t="str">
        <f>IF(AND(B1075='111'!$L$11,OR($N1075=$Q$7,$O1075=$Q$7)),"x","")</f>
        <v/>
      </c>
      <c r="R1075" s="85" t="str">
        <f>IF(AND($N1075=$Q$7,$B1075&lt;'111'!$L$11),"x","")</f>
        <v/>
      </c>
      <c r="S1075" s="85" t="str">
        <f>IF(AND($O1075=$Q$7,$B1075&lt;'111'!$L$11),"x","")</f>
        <v/>
      </c>
      <c r="T1075" s="85" t="str">
        <f>IF(ISERROR(FIND('112'!$M$9,G1075,1)),"",IF((AND(FIND('112'!$M$9,G1075,1)&gt;=1,B1075='112'!$K$9,OR($N1075='112'!$I$6,$O1075='112'!$I$6))),"x",""))</f>
        <v>x</v>
      </c>
      <c r="U1075" s="85" t="str">
        <f>IF(ISERROR(FIND('112'!$M$9,G1075,1)),"",IF((AND(LEFT(G1075,2)=LEFT('112'!$M$9,2),B1075&lt;'112'!$K$9,$N1075='112'!$I$6)),"x",""))</f>
        <v/>
      </c>
      <c r="V1075" s="85" t="str">
        <f>IF(ISERROR(FIND('112'!$M$9,G1075,1)),"",IF((AND(RIGHT(G1075,2)=RIGHT('112'!$M$9,2),B1075&lt;'112'!$K$9,$O1075='112'!$I$6)),"x",""))</f>
        <v/>
      </c>
      <c r="W1075" s="85" t="str">
        <f>IF(AND('341-CT'!$H$9=H1075,OR(LEFT(N1075,3)=$W$7,LEFT(O1075,3)=$W$7)),"x","")</f>
        <v/>
      </c>
      <c r="X1075" s="85" t="str">
        <f>IF(OR(TH!N1075=TH!$X$7,O1075=TH!$X$7),"x","")</f>
        <v/>
      </c>
      <c r="Y1075" s="85" t="str">
        <f>IF(AND(OR(N1075="131",O1075="131"),H1075='131-CT'!$H$9),"x","")</f>
        <v/>
      </c>
      <c r="Z1075" s="85"/>
      <c r="AA1075" s="85" t="str">
        <f>IF(AND(MONTH(E1075)='IN-NX'!$J$5,'IN-NX'!$D$7=D1075),"x","")</f>
        <v/>
      </c>
      <c r="AB1075" s="85" t="str">
        <f>IF(AND(OR(LEFT(TH!N1075,2)="15",LEFT(TH!O1075,2)="15"),'152-CT'!$J$8=TH!F1075),"x","")</f>
        <v/>
      </c>
      <c r="AC1075" s="85" t="str">
        <f>IF(AND(OR(LEFT(TH!N1075,2)="15",LEFT(TH!O1075,2)="15"),TK!$E$7=TH!F1075),"x","")</f>
        <v/>
      </c>
      <c r="AD1075" s="85" t="str">
        <f>IF(AND(N1075="1521",MONTH(C1075)='BK-NL'!$M$11),"x","")</f>
        <v/>
      </c>
    </row>
    <row r="1076" spans="1:30" s="353" customFormat="1" ht="15.75" customHeight="1">
      <c r="A1076" s="1193" t="str">
        <f>IF(B1076&lt;&gt;"",IF(AND(B1076='IN-TC'!$S$4,OR(TH!N1076="1111",TH!O1076="1111")),TH!D1076,""),"")</f>
        <v/>
      </c>
      <c r="B1076" s="1022">
        <f t="shared" si="140"/>
        <v>5</v>
      </c>
      <c r="C1076" s="81">
        <f t="shared" si="141"/>
        <v>42521</v>
      </c>
      <c r="D1076" s="81" t="s">
        <v>585</v>
      </c>
      <c r="E1076" s="81">
        <v>42521</v>
      </c>
      <c r="F1076" s="82" t="s">
        <v>1575</v>
      </c>
      <c r="G1076" s="82"/>
      <c r="H1076" s="83" t="s">
        <v>1375</v>
      </c>
      <c r="I1076" s="444"/>
      <c r="J1076" s="444"/>
      <c r="K1076" s="435"/>
      <c r="L1076" s="444"/>
      <c r="M1076" s="84">
        <v>321158412</v>
      </c>
      <c r="N1076" s="85" t="s">
        <v>72</v>
      </c>
      <c r="O1076" s="85" t="s">
        <v>9</v>
      </c>
      <c r="P1076" s="85" t="str">
        <f>IF(AND('331-CT'!$E$7=TH!H1076,OR(N1076="331",O1076="331")),"x","")</f>
        <v/>
      </c>
      <c r="Q1076" s="85" t="str">
        <f>IF(AND(B1076='111'!$L$11,OR($N1076=$Q$7,$O1076=$Q$7)),"x","")</f>
        <v/>
      </c>
      <c r="R1076" s="85" t="str">
        <f>IF(AND($N1076=$Q$7,$B1076&lt;'111'!$L$11),"x","")</f>
        <v/>
      </c>
      <c r="S1076" s="85" t="str">
        <f>IF(AND($O1076=$Q$7,$B1076&lt;'111'!$L$11),"x","")</f>
        <v/>
      </c>
      <c r="T1076" s="85" t="str">
        <f>IF(ISERROR(FIND('112'!$M$9,G1076,1)),"",IF((AND(FIND('112'!$M$9,G1076,1)&gt;=1,B1076='112'!$K$9,OR($N1076='112'!$I$6,$O1076='112'!$I$6))),"x",""))</f>
        <v/>
      </c>
      <c r="U1076" s="85" t="str">
        <f>IF(ISERROR(FIND('112'!$M$9,G1076,1)),"",IF((AND(LEFT(G1076,2)=LEFT('112'!$M$9,2),B1076&lt;'112'!$K$9,$N1076='112'!$I$6)),"x",""))</f>
        <v/>
      </c>
      <c r="V1076" s="85" t="str">
        <f>IF(ISERROR(FIND('112'!$M$9,G1076,1)),"",IF((AND(RIGHT(G1076,2)=RIGHT('112'!$M$9,2),B1076&lt;'112'!$K$9,$O1076='112'!$I$6)),"x",""))</f>
        <v/>
      </c>
      <c r="W1076" s="85" t="str">
        <f>IF(AND('341-CT'!$H$9=H1076,OR(LEFT(N1076,3)=$W$7,LEFT(O1076,3)=$W$7)),"x","")</f>
        <v/>
      </c>
      <c r="X1076" s="85" t="str">
        <f>IF(OR(TH!N1076=TH!$X$7,O1076=TH!$X$7),"x","")</f>
        <v>x</v>
      </c>
      <c r="Y1076" s="85" t="str">
        <f>IF(AND(OR(N1076="131",O1076="131"),H1076='131-CT'!$H$9),"x","")</f>
        <v/>
      </c>
      <c r="Z1076" s="85"/>
      <c r="AA1076" s="85" t="str">
        <f>IF(AND(MONTH(E1076)='IN-NX'!$J$5,'IN-NX'!$D$7=D1076),"x","")</f>
        <v/>
      </c>
      <c r="AB1076" s="85" t="str">
        <f>IF(AND(OR(LEFT(TH!N1076,2)="15",LEFT(TH!O1076,2)="15"),'152-CT'!$J$8=TH!F1076),"x","")</f>
        <v/>
      </c>
      <c r="AC1076" s="85" t="str">
        <f>IF(AND(OR(LEFT(TH!N1076,2)="15",LEFT(TH!O1076,2)="15"),TK!$E$7=TH!F1076),"x","")</f>
        <v/>
      </c>
      <c r="AD1076" s="85" t="str">
        <f>IF(AND(N1076="1521",MONTH(C1076)='BK-NL'!$M$11),"x","")</f>
        <v/>
      </c>
    </row>
    <row r="1077" spans="1:30" s="1181" customFormat="1" ht="15.75" customHeight="1">
      <c r="A1077" s="1180" t="str">
        <f>IF(B1077&lt;&gt;"",IF(AND(B1077='IN-TC'!$S$4,OR(TH!N1077="1111",TH!O1077="1111")),TH!D1077,""),"")</f>
        <v/>
      </c>
      <c r="B1077" s="1148">
        <f>IF(C1077&lt;&gt;"",MONTH(C1077),"")</f>
        <v>6</v>
      </c>
      <c r="C1077" s="875">
        <v>42527</v>
      </c>
      <c r="D1077" s="875" t="s">
        <v>599</v>
      </c>
      <c r="E1077" s="875">
        <v>42527</v>
      </c>
      <c r="F1077" s="876" t="s">
        <v>452</v>
      </c>
      <c r="G1077" s="992" t="s">
        <v>1577</v>
      </c>
      <c r="H1077" s="984" t="s">
        <v>1578</v>
      </c>
      <c r="I1077" s="985">
        <v>10000</v>
      </c>
      <c r="J1077" s="987">
        <v>8.4499999999999993</v>
      </c>
      <c r="K1077" s="986">
        <f>I1077*J1077</f>
        <v>84500</v>
      </c>
      <c r="L1077" s="985">
        <v>22405</v>
      </c>
      <c r="M1077" s="1150">
        <f>ROUND(K1077*L1077,0)</f>
        <v>1893222500</v>
      </c>
      <c r="N1077" s="883" t="s">
        <v>591</v>
      </c>
      <c r="O1077" s="883" t="s">
        <v>299</v>
      </c>
      <c r="P1077" s="85" t="str">
        <f>IF(AND('331-CT'!$E$7=TH!H1077,OR(N1077="331",O1077="331")),"x","")</f>
        <v/>
      </c>
      <c r="Q1077" s="85" t="str">
        <f>IF(AND(B1077='111'!$L$11,OR($N1077=$Q$7,$O1077=$Q$7)),"x","")</f>
        <v/>
      </c>
      <c r="R1077" s="85" t="str">
        <f>IF(AND($N1077=$Q$7,$B1077&lt;'111'!$L$11),"x","")</f>
        <v/>
      </c>
      <c r="S1077" s="85" t="str">
        <f>IF(AND($O1077=$Q$7,$B1077&lt;'111'!$L$11),"x","")</f>
        <v/>
      </c>
      <c r="T1077" s="85" t="str">
        <f>IF(ISERROR(FIND('112'!$M$9,G1077,1)),"",IF((AND(FIND('112'!$M$9,G1077,1)&gt;=1,B1077='112'!$K$9,OR($N1077='112'!$I$6,$O1077='112'!$I$6))),"x",""))</f>
        <v/>
      </c>
      <c r="U1077" s="85" t="str">
        <f>IF(ISERROR(FIND('112'!$M$9,G1077,1)),"",IF((AND(LEFT(G1077,2)=LEFT('112'!$M$9,2),B1077&lt;'112'!$K$9,$N1077='112'!$I$6)),"x",""))</f>
        <v/>
      </c>
      <c r="V1077" s="85" t="str">
        <f>IF(ISERROR(FIND('112'!$M$9,G1077,1)),"",IF((AND(RIGHT(G1077,2)=RIGHT('112'!$M$9,2),B1077&lt;'112'!$K$9,$O1077='112'!$I$6)),"x",""))</f>
        <v/>
      </c>
      <c r="W1077" s="85" t="str">
        <f>IF(AND('341-CT'!$H$9=H1077,OR(LEFT(N1077,3)=$W$7,LEFT(O1077,3)=$W$7)),"x","")</f>
        <v/>
      </c>
      <c r="X1077" s="85" t="str">
        <f>IF(OR(TH!N1077=TH!$X$7,O1077=TH!$X$7),"x","")</f>
        <v/>
      </c>
      <c r="Y1077" s="85" t="str">
        <f>IF(AND(OR(N1077="131",O1077="131"),H1077='131-CT'!$H$9),"x","")</f>
        <v/>
      </c>
      <c r="Z1077" s="85"/>
      <c r="AA1077" s="85" t="str">
        <f>IF(AND(MONTH(E1077)='IN-NX'!$J$5,'IN-NX'!$D$7=D1077),"x","")</f>
        <v/>
      </c>
      <c r="AB1077" s="85" t="str">
        <f>IF(AND(OR(LEFT(TH!N1077,2)="15",LEFT(TH!O1077,2)="15"),'152-CT'!$J$8=TH!F1077),"x","")</f>
        <v/>
      </c>
      <c r="AC1077" s="85" t="str">
        <f>IF(AND(OR(LEFT(TH!N1077,2)="15",LEFT(TH!O1077,2)="15"),TK!$E$7=TH!F1077),"x","")</f>
        <v/>
      </c>
      <c r="AD1077" s="85" t="str">
        <f>IF(AND(N1077="1521",MONTH(C1077)='BK-NL'!$M$11),"x","")</f>
        <v/>
      </c>
    </row>
    <row r="1078" spans="1:30" s="1181" customFormat="1" ht="15.75" customHeight="1">
      <c r="A1078" s="1180" t="str">
        <f>IF(B1078&lt;&gt;"",IF(AND(B1078='IN-TC'!$S$4,OR(TH!N1078="1111",TH!O1078="1111")),TH!D1078,""),"")</f>
        <v/>
      </c>
      <c r="B1078" s="1148">
        <f t="shared" si="140"/>
        <v>6</v>
      </c>
      <c r="C1078" s="875">
        <v>42532</v>
      </c>
      <c r="D1078" s="875" t="s">
        <v>599</v>
      </c>
      <c r="E1078" s="875">
        <v>42532</v>
      </c>
      <c r="F1078" s="876" t="s">
        <v>452</v>
      </c>
      <c r="G1078" s="992" t="s">
        <v>1576</v>
      </c>
      <c r="H1078" s="984" t="s">
        <v>604</v>
      </c>
      <c r="I1078" s="985">
        <v>1000</v>
      </c>
      <c r="J1078" s="987">
        <v>11.5</v>
      </c>
      <c r="K1078" s="986">
        <f>I1078*J1078</f>
        <v>11500</v>
      </c>
      <c r="L1078" s="985">
        <v>22405</v>
      </c>
      <c r="M1078" s="1150">
        <f>ROUND(K1078*L1078,0)</f>
        <v>257657500</v>
      </c>
      <c r="N1078" s="883" t="s">
        <v>591</v>
      </c>
      <c r="O1078" s="883" t="s">
        <v>299</v>
      </c>
      <c r="P1078" s="85" t="str">
        <f>IF(AND('331-CT'!$E$7=TH!H1078,OR(N1078="331",O1078="331")),"x","")</f>
        <v/>
      </c>
      <c r="Q1078" s="85" t="str">
        <f>IF(AND(B1078='111'!$L$11,OR($N1078=$Q$7,$O1078=$Q$7)),"x","")</f>
        <v/>
      </c>
      <c r="R1078" s="85" t="str">
        <f>IF(AND($N1078=$Q$7,$B1078&lt;'111'!$L$11),"x","")</f>
        <v/>
      </c>
      <c r="S1078" s="85" t="str">
        <f>IF(AND($O1078=$Q$7,$B1078&lt;'111'!$L$11),"x","")</f>
        <v/>
      </c>
      <c r="T1078" s="85" t="str">
        <f>IF(ISERROR(FIND('112'!$M$9,G1078,1)),"",IF((AND(FIND('112'!$M$9,G1078,1)&gt;=1,B1078='112'!$K$9,OR($N1078='112'!$I$6,$O1078='112'!$I$6))),"x",""))</f>
        <v/>
      </c>
      <c r="U1078" s="85" t="str">
        <f>IF(ISERROR(FIND('112'!$M$9,G1078,1)),"",IF((AND(LEFT(G1078,2)=LEFT('112'!$M$9,2),B1078&lt;'112'!$K$9,$N1078='112'!$I$6)),"x",""))</f>
        <v/>
      </c>
      <c r="V1078" s="85" t="str">
        <f>IF(ISERROR(FIND('112'!$M$9,G1078,1)),"",IF((AND(RIGHT(G1078,2)=RIGHT('112'!$M$9,2),B1078&lt;'112'!$K$9,$O1078='112'!$I$6)),"x",""))</f>
        <v/>
      </c>
      <c r="W1078" s="85" t="str">
        <f>IF(AND('341-CT'!$H$9=H1078,OR(LEFT(N1078,3)=$W$7,LEFT(O1078,3)=$W$7)),"x","")</f>
        <v/>
      </c>
      <c r="X1078" s="85" t="str">
        <f>IF(OR(TH!N1078=TH!$X$7,O1078=TH!$X$7),"x","")</f>
        <v/>
      </c>
      <c r="Y1078" s="85" t="str">
        <f>IF(AND(OR(N1078="131",O1078="131"),H1078='131-CT'!$H$9),"x","")</f>
        <v/>
      </c>
      <c r="Z1078" s="85"/>
      <c r="AA1078" s="85" t="str">
        <f>IF(AND(MONTH(E1078)='IN-NX'!$J$5,'IN-NX'!$D$7=D1078),"x","")</f>
        <v/>
      </c>
      <c r="AB1078" s="85" t="str">
        <f>IF(AND(OR(LEFT(TH!N1078,2)="15",LEFT(TH!O1078,2)="15"),'152-CT'!$J$8=TH!F1078),"x","")</f>
        <v/>
      </c>
      <c r="AC1078" s="85" t="str">
        <f>IF(AND(OR(LEFT(TH!N1078,2)="15",LEFT(TH!O1078,2)="15"),TK!$E$7=TH!F1078),"x","")</f>
        <v/>
      </c>
      <c r="AD1078" s="85" t="str">
        <f>IF(AND(N1078="1521",MONTH(C1078)='BK-NL'!$M$11),"x","")</f>
        <v/>
      </c>
    </row>
    <row r="1079" spans="1:30" s="1181" customFormat="1" ht="15.75" customHeight="1">
      <c r="A1079" s="1180" t="str">
        <f>IF(B1079&lt;&gt;"",IF(AND(B1079='IN-TC'!$S$4,OR(TH!N1079="1111",TH!O1079="1111")),TH!D1079,""),"")</f>
        <v/>
      </c>
      <c r="B1079" s="1148">
        <f t="shared" si="140"/>
        <v>6</v>
      </c>
      <c r="C1079" s="875">
        <v>42532</v>
      </c>
      <c r="D1079" s="875" t="s">
        <v>599</v>
      </c>
      <c r="E1079" s="875">
        <v>42532</v>
      </c>
      <c r="F1079" s="876" t="s">
        <v>1543</v>
      </c>
      <c r="G1079" s="992" t="s">
        <v>1576</v>
      </c>
      <c r="H1079" s="984" t="s">
        <v>604</v>
      </c>
      <c r="I1079" s="985">
        <v>2640</v>
      </c>
      <c r="J1079" s="987">
        <v>8.6</v>
      </c>
      <c r="K1079" s="986">
        <f>I1079*J1079</f>
        <v>22704</v>
      </c>
      <c r="L1079" s="985">
        <v>22405</v>
      </c>
      <c r="M1079" s="1150">
        <f>ROUND(K1079*L1079,0)</f>
        <v>508683120</v>
      </c>
      <c r="N1079" s="883" t="s">
        <v>591</v>
      </c>
      <c r="O1079" s="883" t="s">
        <v>299</v>
      </c>
      <c r="P1079" s="85" t="str">
        <f>IF(AND('331-CT'!$E$7=TH!H1079,OR(N1079="331",O1079="331")),"x","")</f>
        <v/>
      </c>
      <c r="Q1079" s="85" t="str">
        <f>IF(AND(B1079='111'!$L$11,OR($N1079=$Q$7,$O1079=$Q$7)),"x","")</f>
        <v/>
      </c>
      <c r="R1079" s="85" t="str">
        <f>IF(AND($N1079=$Q$7,$B1079&lt;'111'!$L$11),"x","")</f>
        <v/>
      </c>
      <c r="S1079" s="85" t="str">
        <f>IF(AND($O1079=$Q$7,$B1079&lt;'111'!$L$11),"x","")</f>
        <v/>
      </c>
      <c r="T1079" s="85" t="str">
        <f>IF(ISERROR(FIND('112'!$M$9,G1079,1)),"",IF((AND(FIND('112'!$M$9,G1079,1)&gt;=1,B1079='112'!$K$9,OR($N1079='112'!$I$6,$O1079='112'!$I$6))),"x",""))</f>
        <v/>
      </c>
      <c r="U1079" s="85" t="str">
        <f>IF(ISERROR(FIND('112'!$M$9,G1079,1)),"",IF((AND(LEFT(G1079,2)=LEFT('112'!$M$9,2),B1079&lt;'112'!$K$9,$N1079='112'!$I$6)),"x",""))</f>
        <v/>
      </c>
      <c r="V1079" s="85" t="str">
        <f>IF(ISERROR(FIND('112'!$M$9,G1079,1)),"",IF((AND(RIGHT(G1079,2)=RIGHT('112'!$M$9,2),B1079&lt;'112'!$K$9,$O1079='112'!$I$6)),"x",""))</f>
        <v/>
      </c>
      <c r="W1079" s="85" t="str">
        <f>IF(AND('341-CT'!$H$9=H1079,OR(LEFT(N1079,3)=$W$7,LEFT(O1079,3)=$W$7)),"x","")</f>
        <v/>
      </c>
      <c r="X1079" s="85" t="str">
        <f>IF(OR(TH!N1079=TH!$X$7,O1079=TH!$X$7),"x","")</f>
        <v/>
      </c>
      <c r="Y1079" s="85" t="str">
        <f>IF(AND(OR(N1079="131",O1079="131"),H1079='131-CT'!$H$9),"x","")</f>
        <v/>
      </c>
      <c r="Z1079" s="85"/>
      <c r="AA1079" s="85" t="str">
        <f>IF(AND(MONTH(E1079)='IN-NX'!$J$5,'IN-NX'!$D$7=D1079),"x","")</f>
        <v/>
      </c>
      <c r="AB1079" s="85" t="str">
        <f>IF(AND(OR(LEFT(TH!N1079,2)="15",LEFT(TH!O1079,2)="15"),'152-CT'!$J$8=TH!F1079),"x","")</f>
        <v/>
      </c>
      <c r="AC1079" s="85" t="str">
        <f>IF(AND(OR(LEFT(TH!N1079,2)="15",LEFT(TH!O1079,2)="15"),TK!$E$7=TH!F1079),"x","")</f>
        <v/>
      </c>
      <c r="AD1079" s="85" t="str">
        <f>IF(AND(N1079="1521",MONTH(C1079)='BK-NL'!$M$11),"x","")</f>
        <v/>
      </c>
    </row>
    <row r="1080" spans="1:30" ht="15.75" customHeight="1">
      <c r="A1080" s="342" t="str">
        <f>IF(B1080&lt;&gt;"",IF(AND(B1080='IN-TC'!$S$4,OR(TH!N1080="1111",TH!O1080="1111")),TH!D1080,""),"")</f>
        <v/>
      </c>
      <c r="B1080" s="63">
        <f t="shared" si="125"/>
        <v>6</v>
      </c>
      <c r="C1080" s="64">
        <v>42551</v>
      </c>
      <c r="D1080" s="64" t="s">
        <v>585</v>
      </c>
      <c r="E1080" s="64">
        <v>42551</v>
      </c>
      <c r="F1080" s="67" t="s">
        <v>1579</v>
      </c>
      <c r="G1080" s="995"/>
      <c r="H1080" s="74" t="s">
        <v>1523</v>
      </c>
      <c r="I1080" s="446"/>
      <c r="J1080" s="446"/>
      <c r="K1080" s="437"/>
      <c r="L1080" s="446"/>
      <c r="M1080" s="65">
        <v>9399600</v>
      </c>
      <c r="N1080" s="66" t="s">
        <v>594</v>
      </c>
      <c r="O1080" s="66">
        <v>331</v>
      </c>
      <c r="P1080" s="85" t="str">
        <f>IF(AND('331-CT'!$E$7=TH!H1080,OR(N1080="331",O1080="331")),"x","")</f>
        <v/>
      </c>
      <c r="Q1080" s="85" t="str">
        <f>IF(AND(B1080='111'!$L$11,OR($N1080=$Q$7,$O1080=$Q$7)),"x","")</f>
        <v/>
      </c>
      <c r="R1080" s="85" t="str">
        <f>IF(AND($N1080=$Q$7,$B1080&lt;'111'!$L$11),"x","")</f>
        <v/>
      </c>
      <c r="S1080" s="85" t="str">
        <f>IF(AND($O1080=$Q$7,$B1080&lt;'111'!$L$11),"x","")</f>
        <v/>
      </c>
      <c r="T1080" s="85" t="str">
        <f>IF(ISERROR(FIND('112'!$M$9,G1080,1)),"",IF((AND(FIND('112'!$M$9,G1080,1)&gt;=1,B1080='112'!$K$9,OR($N1080='112'!$I$6,$O1080='112'!$I$6))),"x",""))</f>
        <v/>
      </c>
      <c r="U1080" s="85" t="str">
        <f>IF(ISERROR(FIND('112'!$M$9,G1080,1)),"",IF((AND(LEFT(G1080,2)=LEFT('112'!$M$9,2),B1080&lt;'112'!$K$9,$N1080='112'!$I$6)),"x",""))</f>
        <v/>
      </c>
      <c r="V1080" s="85" t="str">
        <f>IF(ISERROR(FIND('112'!$M$9,G1080,1)),"",IF((AND(RIGHT(G1080,2)=RIGHT('112'!$M$9,2),B1080&lt;'112'!$K$9,$O1080='112'!$I$6)),"x",""))</f>
        <v/>
      </c>
      <c r="W1080" s="85" t="str">
        <f>IF(AND('341-CT'!$H$9=H1080,OR(LEFT(N1080,3)=$W$7,LEFT(O1080,3)=$W$7)),"x","")</f>
        <v/>
      </c>
      <c r="X1080" s="85" t="str">
        <f>IF(OR(TH!N1080=TH!$X$7,O1080=TH!$X$7),"x","")</f>
        <v/>
      </c>
      <c r="Y1080" s="85" t="str">
        <f>IF(AND(OR(N1080="131",O1080="131"),H1080='131-CT'!$H$9),"x","")</f>
        <v/>
      </c>
      <c r="Z1080" s="85"/>
      <c r="AA1080" s="85" t="str">
        <f>IF(AND(MONTH(E1080)='IN-NX'!$J$5,'IN-NX'!$D$7=D1080),"x","")</f>
        <v/>
      </c>
      <c r="AB1080" s="85" t="str">
        <f>IF(AND(OR(LEFT(TH!N1080,2)="15",LEFT(TH!O1080,2)="15"),'152-CT'!$J$8=TH!F1080),"x","")</f>
        <v/>
      </c>
      <c r="AC1080" s="85" t="str">
        <f>IF(AND(OR(LEFT(TH!N1080,2)="15",LEFT(TH!O1080,2)="15"),TK!$E$7=TH!F1080),"x","")</f>
        <v/>
      </c>
      <c r="AD1080" s="85" t="str">
        <f>IF(AND(N1080="1521",MONTH(C1080)='BK-NL'!$M$11),"x","")</f>
        <v/>
      </c>
    </row>
    <row r="1081" spans="1:30" ht="15.75" customHeight="1">
      <c r="A1081" s="342" t="str">
        <f>IF(B1081&lt;&gt;"",IF(AND(B1081='IN-TC'!$S$4,OR(TH!N1081="1111",TH!O1081="1111")),TH!D1081,""),"")</f>
        <v/>
      </c>
      <c r="B1081" s="63">
        <f t="shared" si="125"/>
        <v>6</v>
      </c>
      <c r="C1081" s="64">
        <v>42551</v>
      </c>
      <c r="D1081" s="64" t="s">
        <v>585</v>
      </c>
      <c r="E1081" s="64">
        <v>42551</v>
      </c>
      <c r="F1081" s="67" t="s">
        <v>1579</v>
      </c>
      <c r="G1081" s="67"/>
      <c r="H1081" s="74" t="s">
        <v>1523</v>
      </c>
      <c r="I1081" s="446"/>
      <c r="J1081" s="446"/>
      <c r="K1081" s="437"/>
      <c r="L1081" s="446"/>
      <c r="M1081" s="65">
        <v>7855380</v>
      </c>
      <c r="N1081" s="66" t="s">
        <v>594</v>
      </c>
      <c r="O1081" s="66">
        <v>331</v>
      </c>
      <c r="P1081" s="85" t="str">
        <f>IF(AND('331-CT'!$E$7=TH!H1081,OR(N1081="331",O1081="331")),"x","")</f>
        <v/>
      </c>
      <c r="Q1081" s="85" t="str">
        <f>IF(AND(B1081='111'!$L$11,OR($N1081=$Q$7,$O1081=$Q$7)),"x","")</f>
        <v/>
      </c>
      <c r="R1081" s="85" t="str">
        <f>IF(AND($N1081=$Q$7,$B1081&lt;'111'!$L$11),"x","")</f>
        <v/>
      </c>
      <c r="S1081" s="85" t="str">
        <f>IF(AND($O1081=$Q$7,$B1081&lt;'111'!$L$11),"x","")</f>
        <v/>
      </c>
      <c r="T1081" s="85" t="str">
        <f>IF(ISERROR(FIND('112'!$M$9,G1081,1)),"",IF((AND(FIND('112'!$M$9,G1081,1)&gt;=1,B1081='112'!$K$9,OR($N1081='112'!$I$6,$O1081='112'!$I$6))),"x",""))</f>
        <v/>
      </c>
      <c r="U1081" s="85" t="str">
        <f>IF(ISERROR(FIND('112'!$M$9,G1081,1)),"",IF((AND(LEFT(G1081,2)=LEFT('112'!$M$9,2),B1081&lt;'112'!$K$9,$N1081='112'!$I$6)),"x",""))</f>
        <v/>
      </c>
      <c r="V1081" s="85" t="str">
        <f>IF(ISERROR(FIND('112'!$M$9,G1081,1)),"",IF((AND(RIGHT(G1081,2)=RIGHT('112'!$M$9,2),B1081&lt;'112'!$K$9,$O1081='112'!$I$6)),"x",""))</f>
        <v/>
      </c>
      <c r="W1081" s="85" t="str">
        <f>IF(AND('341-CT'!$H$9=H1081,OR(LEFT(N1081,3)=$W$7,LEFT(O1081,3)=$W$7)),"x","")</f>
        <v/>
      </c>
      <c r="X1081" s="85" t="str">
        <f>IF(OR(TH!N1081=TH!$X$7,O1081=TH!$X$7),"x","")</f>
        <v/>
      </c>
      <c r="Y1081" s="85" t="str">
        <f>IF(AND(OR(N1081="131",O1081="131"),H1081='131-CT'!$H$9),"x","")</f>
        <v/>
      </c>
      <c r="Z1081" s="85"/>
      <c r="AA1081" s="85" t="str">
        <f>IF(AND(MONTH(E1081)='IN-NX'!$J$5,'IN-NX'!$D$7=D1081),"x","")</f>
        <v/>
      </c>
      <c r="AB1081" s="85" t="str">
        <f>IF(AND(OR(LEFT(TH!N1081,2)="15",LEFT(TH!O1081,2)="15"),'152-CT'!$J$8=TH!F1081),"x","")</f>
        <v/>
      </c>
      <c r="AC1081" s="85" t="str">
        <f>IF(AND(OR(LEFT(TH!N1081,2)="15",LEFT(TH!O1081,2)="15"),TK!$E$7=TH!F1081),"x","")</f>
        <v/>
      </c>
      <c r="AD1081" s="85" t="str">
        <f>IF(AND(N1081="1521",MONTH(C1081)='BK-NL'!$M$11),"x","")</f>
        <v/>
      </c>
    </row>
    <row r="1082" spans="1:30" ht="15.75" customHeight="1">
      <c r="A1082" s="342" t="str">
        <f>IF(B1082&lt;&gt;"",IF(AND(B1082='IN-TC'!$S$4,OR(TH!N1082="1111",TH!O1082="1111")),TH!D1082,""),"")</f>
        <v/>
      </c>
      <c r="B1082" s="63">
        <f t="shared" ref="B1082" si="142">IF(C1082&lt;&gt;"",MONTH(C1082),"")</f>
        <v>6</v>
      </c>
      <c r="C1082" s="64">
        <v>42551</v>
      </c>
      <c r="D1082" s="64" t="s">
        <v>585</v>
      </c>
      <c r="E1082" s="64">
        <v>42551</v>
      </c>
      <c r="F1082" s="67" t="s">
        <v>1579</v>
      </c>
      <c r="G1082" s="67"/>
      <c r="H1082" s="74" t="s">
        <v>1523</v>
      </c>
      <c r="I1082" s="446"/>
      <c r="J1082" s="446"/>
      <c r="K1082" s="437"/>
      <c r="L1082" s="446"/>
      <c r="M1082" s="65">
        <v>785538</v>
      </c>
      <c r="N1082" s="66" t="s">
        <v>9</v>
      </c>
      <c r="O1082" s="66">
        <v>331</v>
      </c>
      <c r="P1082" s="85" t="str">
        <f>IF(AND('331-CT'!$E$7=TH!H1082,OR(N1082="331",O1082="331")),"x","")</f>
        <v/>
      </c>
      <c r="Q1082" s="85" t="str">
        <f>IF(AND(B1082='111'!$L$11,OR($N1082=$Q$7,$O1082=$Q$7)),"x","")</f>
        <v/>
      </c>
      <c r="R1082" s="85" t="str">
        <f>IF(AND($N1082=$Q$7,$B1082&lt;'111'!$L$11),"x","")</f>
        <v/>
      </c>
      <c r="S1082" s="85" t="str">
        <f>IF(AND($O1082=$Q$7,$B1082&lt;'111'!$L$11),"x","")</f>
        <v/>
      </c>
      <c r="T1082" s="85" t="str">
        <f>IF(ISERROR(FIND('112'!$M$9,G1082,1)),"",IF((AND(FIND('112'!$M$9,G1082,1)&gt;=1,B1082='112'!$K$9,OR($N1082='112'!$I$6,$O1082='112'!$I$6))),"x",""))</f>
        <v/>
      </c>
      <c r="U1082" s="85" t="str">
        <f>IF(ISERROR(FIND('112'!$M$9,G1082,1)),"",IF((AND(LEFT(G1082,2)=LEFT('112'!$M$9,2),B1082&lt;'112'!$K$9,$N1082='112'!$I$6)),"x",""))</f>
        <v/>
      </c>
      <c r="V1082" s="85" t="str">
        <f>IF(ISERROR(FIND('112'!$M$9,G1082,1)),"",IF((AND(RIGHT(G1082,2)=RIGHT('112'!$M$9,2),B1082&lt;'112'!$K$9,$O1082='112'!$I$6)),"x",""))</f>
        <v/>
      </c>
      <c r="W1082" s="85" t="str">
        <f>IF(AND('341-CT'!$H$9=H1082,OR(LEFT(N1082,3)=$W$7,LEFT(O1082,3)=$W$7)),"x","")</f>
        <v/>
      </c>
      <c r="X1082" s="85" t="str">
        <f>IF(OR(TH!N1082=TH!$X$7,O1082=TH!$X$7),"x","")</f>
        <v/>
      </c>
      <c r="Y1082" s="85" t="str">
        <f>IF(AND(OR(N1082="131",O1082="131"),H1082='131-CT'!$H$9),"x","")</f>
        <v/>
      </c>
      <c r="Z1082" s="85"/>
      <c r="AA1082" s="85" t="str">
        <f>IF(AND(MONTH(E1082)='IN-NX'!$J$5,'IN-NX'!$D$7=D1082),"x","")</f>
        <v/>
      </c>
      <c r="AB1082" s="85" t="str">
        <f>IF(AND(OR(LEFT(TH!N1082,2)="15",LEFT(TH!O1082,2)="15"),'152-CT'!$J$8=TH!F1082),"x","")</f>
        <v/>
      </c>
      <c r="AC1082" s="85" t="str">
        <f>IF(AND(OR(LEFT(TH!N1082,2)="15",LEFT(TH!O1082,2)="15"),TK!$E$7=TH!F1082),"x","")</f>
        <v/>
      </c>
      <c r="AD1082" s="85" t="str">
        <f>IF(AND(N1082="1521",MONTH(C1082)='BK-NL'!$M$11),"x","")</f>
        <v/>
      </c>
    </row>
    <row r="1083" spans="1:30" ht="15.75" customHeight="1">
      <c r="A1083" s="342" t="str">
        <f>IF(B1083&lt;&gt;"",IF(AND(B1083='IN-TC'!$S$4,OR(TH!N1083="1111",TH!O1083="1111")),TH!D1083,""),"")</f>
        <v/>
      </c>
      <c r="B1083" s="63">
        <f t="shared" si="125"/>
        <v>6</v>
      </c>
      <c r="C1083" s="64">
        <v>42551</v>
      </c>
      <c r="D1083" s="64" t="s">
        <v>585</v>
      </c>
      <c r="E1083" s="64">
        <v>42551</v>
      </c>
      <c r="F1083" s="67" t="s">
        <v>1579</v>
      </c>
      <c r="G1083" s="67"/>
      <c r="H1083" s="74" t="s">
        <v>1523</v>
      </c>
      <c r="I1083" s="446"/>
      <c r="J1083" s="446"/>
      <c r="K1083" s="437"/>
      <c r="L1083" s="446"/>
      <c r="M1083" s="65">
        <v>8519160</v>
      </c>
      <c r="N1083" s="66" t="s">
        <v>594</v>
      </c>
      <c r="O1083" s="66">
        <v>331</v>
      </c>
      <c r="P1083" s="85" t="str">
        <f>IF(AND('331-CT'!$E$7=TH!H1083,OR(N1083="331",O1083="331")),"x","")</f>
        <v/>
      </c>
      <c r="Q1083" s="85" t="str">
        <f>IF(AND(B1083='111'!$L$11,OR($N1083=$Q$7,$O1083=$Q$7)),"x","")</f>
        <v/>
      </c>
      <c r="R1083" s="85" t="str">
        <f>IF(AND($N1083=$Q$7,$B1083&lt;'111'!$L$11),"x","")</f>
        <v/>
      </c>
      <c r="S1083" s="85" t="str">
        <f>IF(AND($O1083=$Q$7,$B1083&lt;'111'!$L$11),"x","")</f>
        <v/>
      </c>
      <c r="T1083" s="85" t="str">
        <f>IF(ISERROR(FIND('112'!$M$9,G1083,1)),"",IF((AND(FIND('112'!$M$9,G1083,1)&gt;=1,B1083='112'!$K$9,OR($N1083='112'!$I$6,$O1083='112'!$I$6))),"x",""))</f>
        <v/>
      </c>
      <c r="U1083" s="85" t="str">
        <f>IF(ISERROR(FIND('112'!$M$9,G1083,1)),"",IF((AND(LEFT(G1083,2)=LEFT('112'!$M$9,2),B1083&lt;'112'!$K$9,$N1083='112'!$I$6)),"x",""))</f>
        <v/>
      </c>
      <c r="V1083" s="85" t="str">
        <f>IF(ISERROR(FIND('112'!$M$9,G1083,1)),"",IF((AND(RIGHT(G1083,2)=RIGHT('112'!$M$9,2),B1083&lt;'112'!$K$9,$O1083='112'!$I$6)),"x",""))</f>
        <v/>
      </c>
      <c r="W1083" s="85" t="str">
        <f>IF(AND('341-CT'!$H$9=H1083,OR(LEFT(N1083,3)=$W$7,LEFT(O1083,3)=$W$7)),"x","")</f>
        <v/>
      </c>
      <c r="X1083" s="85" t="str">
        <f>IF(OR(TH!N1083=TH!$X$7,O1083=TH!$X$7),"x","")</f>
        <v/>
      </c>
      <c r="Y1083" s="85" t="str">
        <f>IF(AND(OR(N1083="131",O1083="131"),H1083='131-CT'!$H$9),"x","")</f>
        <v/>
      </c>
      <c r="Z1083" s="85"/>
      <c r="AA1083" s="85" t="str">
        <f>IF(AND(MONTH(E1083)='IN-NX'!$J$5,'IN-NX'!$D$7=D1083),"x","")</f>
        <v/>
      </c>
      <c r="AB1083" s="85" t="str">
        <f>IF(AND(OR(LEFT(TH!N1083,2)="15",LEFT(TH!O1083,2)="15"),'152-CT'!$J$8=TH!F1083),"x","")</f>
        <v/>
      </c>
      <c r="AC1083" s="85" t="str">
        <f>IF(AND(OR(LEFT(TH!N1083,2)="15",LEFT(TH!O1083,2)="15"),TK!$E$7=TH!F1083),"x","")</f>
        <v/>
      </c>
      <c r="AD1083" s="85" t="str">
        <f>IF(AND(N1083="1521",MONTH(C1083)='BK-NL'!$M$11),"x","")</f>
        <v/>
      </c>
    </row>
    <row r="1084" spans="1:30" ht="15.75" customHeight="1">
      <c r="A1084" s="342" t="str">
        <f>IF(B1084&lt;&gt;"",IF(AND(B1084='IN-TC'!$S$4,OR(TH!N1084="1111",TH!O1084="1111")),TH!D1084,""),"")</f>
        <v/>
      </c>
      <c r="B1084" s="63">
        <f t="shared" si="125"/>
        <v>6</v>
      </c>
      <c r="C1084" s="64">
        <v>42551</v>
      </c>
      <c r="D1084" s="64" t="s">
        <v>585</v>
      </c>
      <c r="E1084" s="64">
        <v>42551</v>
      </c>
      <c r="F1084" s="67" t="s">
        <v>1579</v>
      </c>
      <c r="G1084" s="67"/>
      <c r="H1084" s="74" t="s">
        <v>1523</v>
      </c>
      <c r="I1084" s="446"/>
      <c r="J1084" s="446"/>
      <c r="K1084" s="437"/>
      <c r="L1084" s="446"/>
      <c r="M1084" s="65">
        <v>851916</v>
      </c>
      <c r="N1084" s="66" t="s">
        <v>9</v>
      </c>
      <c r="O1084" s="66">
        <v>331</v>
      </c>
      <c r="P1084" s="85" t="str">
        <f>IF(AND('331-CT'!$E$7=TH!H1084,OR(N1084="331",O1084="331")),"x","")</f>
        <v/>
      </c>
      <c r="Q1084" s="85" t="str">
        <f>IF(AND(B1084='111'!$L$11,OR($N1084=$Q$7,$O1084=$Q$7)),"x","")</f>
        <v/>
      </c>
      <c r="R1084" s="85" t="str">
        <f>IF(AND($N1084=$Q$7,$B1084&lt;'111'!$L$11),"x","")</f>
        <v/>
      </c>
      <c r="S1084" s="85" t="str">
        <f>IF(AND($O1084=$Q$7,$B1084&lt;'111'!$L$11),"x","")</f>
        <v/>
      </c>
      <c r="T1084" s="85" t="str">
        <f>IF(ISERROR(FIND('112'!$M$9,G1084,1)),"",IF((AND(FIND('112'!$M$9,G1084,1)&gt;=1,B1084='112'!$K$9,OR($N1084='112'!$I$6,$O1084='112'!$I$6))),"x",""))</f>
        <v/>
      </c>
      <c r="U1084" s="85" t="str">
        <f>IF(ISERROR(FIND('112'!$M$9,G1084,1)),"",IF((AND(LEFT(G1084,2)=LEFT('112'!$M$9,2),B1084&lt;'112'!$K$9,$N1084='112'!$I$6)),"x",""))</f>
        <v/>
      </c>
      <c r="V1084" s="85" t="str">
        <f>IF(ISERROR(FIND('112'!$M$9,G1084,1)),"",IF((AND(RIGHT(G1084,2)=RIGHT('112'!$M$9,2),B1084&lt;'112'!$K$9,$O1084='112'!$I$6)),"x",""))</f>
        <v/>
      </c>
      <c r="W1084" s="85" t="str">
        <f>IF(AND('341-CT'!$H$9=H1084,OR(LEFT(N1084,3)=$W$7,LEFT(O1084,3)=$W$7)),"x","")</f>
        <v/>
      </c>
      <c r="X1084" s="85" t="str">
        <f>IF(OR(TH!N1084=TH!$X$7,O1084=TH!$X$7),"x","")</f>
        <v/>
      </c>
      <c r="Y1084" s="85" t="str">
        <f>IF(AND(OR(N1084="131",O1084="131"),H1084='131-CT'!$H$9),"x","")</f>
        <v/>
      </c>
      <c r="Z1084" s="85"/>
      <c r="AA1084" s="85" t="str">
        <f>IF(AND(MONTH(E1084)='IN-NX'!$J$5,'IN-NX'!$D$7=D1084),"x","")</f>
        <v/>
      </c>
      <c r="AB1084" s="85" t="str">
        <f>IF(AND(OR(LEFT(TH!N1084,2)="15",LEFT(TH!O1084,2)="15"),'152-CT'!$J$8=TH!F1084),"x","")</f>
        <v/>
      </c>
      <c r="AC1084" s="85" t="str">
        <f>IF(AND(OR(LEFT(TH!N1084,2)="15",LEFT(TH!O1084,2)="15"),TK!$E$7=TH!F1084),"x","")</f>
        <v/>
      </c>
      <c r="AD1084" s="85" t="str">
        <f>IF(AND(N1084="1521",MONTH(C1084)='BK-NL'!$M$11),"x","")</f>
        <v/>
      </c>
    </row>
    <row r="1085" spans="1:30" ht="15.75" customHeight="1">
      <c r="A1085" s="342" t="str">
        <f>IF(B1085&lt;&gt;"",IF(AND(B1085='IN-TC'!$S$4,OR(TH!N1085="1111",TH!O1085="1111")),TH!D1085,""),"")</f>
        <v/>
      </c>
      <c r="B1085" s="63">
        <f t="shared" si="125"/>
        <v>6</v>
      </c>
      <c r="C1085" s="64">
        <v>42551</v>
      </c>
      <c r="D1085" s="64" t="s">
        <v>585</v>
      </c>
      <c r="E1085" s="64">
        <v>42551</v>
      </c>
      <c r="F1085" s="67" t="s">
        <v>1579</v>
      </c>
      <c r="G1085" s="67"/>
      <c r="H1085" s="74" t="s">
        <v>1523</v>
      </c>
      <c r="I1085" s="446"/>
      <c r="J1085" s="446"/>
      <c r="K1085" s="437"/>
      <c r="L1085" s="446"/>
      <c r="M1085" s="65">
        <v>20124000</v>
      </c>
      <c r="N1085" s="66" t="s">
        <v>594</v>
      </c>
      <c r="O1085" s="66">
        <v>331</v>
      </c>
      <c r="P1085" s="85" t="str">
        <f>IF(AND('331-CT'!$E$7=TH!H1085,OR(N1085="331",O1085="331")),"x","")</f>
        <v/>
      </c>
      <c r="Q1085" s="85" t="str">
        <f>IF(AND(B1085='111'!$L$11,OR($N1085=$Q$7,$O1085=$Q$7)),"x","")</f>
        <v/>
      </c>
      <c r="R1085" s="85" t="str">
        <f>IF(AND($N1085=$Q$7,$B1085&lt;'111'!$L$11),"x","")</f>
        <v/>
      </c>
      <c r="S1085" s="85" t="str">
        <f>IF(AND($O1085=$Q$7,$B1085&lt;'111'!$L$11),"x","")</f>
        <v/>
      </c>
      <c r="T1085" s="85" t="str">
        <f>IF(ISERROR(FIND('112'!$M$9,G1085,1)),"",IF((AND(FIND('112'!$M$9,G1085,1)&gt;=1,B1085='112'!$K$9,OR($N1085='112'!$I$6,$O1085='112'!$I$6))),"x",""))</f>
        <v/>
      </c>
      <c r="U1085" s="85" t="str">
        <f>IF(ISERROR(FIND('112'!$M$9,G1085,1)),"",IF((AND(LEFT(G1085,2)=LEFT('112'!$M$9,2),B1085&lt;'112'!$K$9,$N1085='112'!$I$6)),"x",""))</f>
        <v/>
      </c>
      <c r="V1085" s="85" t="str">
        <f>IF(ISERROR(FIND('112'!$M$9,G1085,1)),"",IF((AND(RIGHT(G1085,2)=RIGHT('112'!$M$9,2),B1085&lt;'112'!$K$9,$O1085='112'!$I$6)),"x",""))</f>
        <v/>
      </c>
      <c r="W1085" s="85" t="str">
        <f>IF(AND('341-CT'!$H$9=H1085,OR(LEFT(N1085,3)=$W$7,LEFT(O1085,3)=$W$7)),"x","")</f>
        <v/>
      </c>
      <c r="X1085" s="85" t="str">
        <f>IF(OR(TH!N1085=TH!$X$7,O1085=TH!$X$7),"x","")</f>
        <v/>
      </c>
      <c r="Y1085" s="85" t="str">
        <f>IF(AND(OR(N1085="131",O1085="131"),H1085='131-CT'!$H$9),"x","")</f>
        <v/>
      </c>
      <c r="Z1085" s="85"/>
      <c r="AA1085" s="85" t="str">
        <f>IF(AND(MONTH(E1085)='IN-NX'!$J$5,'IN-NX'!$D$7=D1085),"x","")</f>
        <v/>
      </c>
      <c r="AB1085" s="85" t="str">
        <f>IF(AND(OR(LEFT(TH!N1085,2)="15",LEFT(TH!O1085,2)="15"),'152-CT'!$J$8=TH!F1085),"x","")</f>
        <v/>
      </c>
      <c r="AC1085" s="85" t="str">
        <f>IF(AND(OR(LEFT(TH!N1085,2)="15",LEFT(TH!O1085,2)="15"),TK!$E$7=TH!F1085),"x","")</f>
        <v/>
      </c>
      <c r="AD1085" s="85" t="str">
        <f>IF(AND(N1085="1521",MONTH(C1085)='BK-NL'!$M$11),"x","")</f>
        <v/>
      </c>
    </row>
    <row r="1086" spans="1:30" ht="15.75" customHeight="1">
      <c r="A1086" s="342" t="str">
        <f>IF(B1086&lt;&gt;"",IF(AND(B1086='IN-TC'!$S$4,OR(TH!N1086="1111",TH!O1086="1111")),TH!D1086,""),"")</f>
        <v/>
      </c>
      <c r="B1086" s="63">
        <f t="shared" si="125"/>
        <v>6</v>
      </c>
      <c r="C1086" s="64">
        <v>42551</v>
      </c>
      <c r="D1086" s="64" t="s">
        <v>585</v>
      </c>
      <c r="E1086" s="64">
        <v>42551</v>
      </c>
      <c r="F1086" s="67" t="s">
        <v>1579</v>
      </c>
      <c r="G1086" s="67"/>
      <c r="H1086" s="74" t="s">
        <v>1523</v>
      </c>
      <c r="I1086" s="446"/>
      <c r="J1086" s="446"/>
      <c r="K1086" s="437"/>
      <c r="L1086" s="446"/>
      <c r="M1086" s="65">
        <v>7844850</v>
      </c>
      <c r="N1086" s="66" t="s">
        <v>594</v>
      </c>
      <c r="O1086" s="66">
        <v>331</v>
      </c>
      <c r="P1086" s="85" t="str">
        <f>IF(AND('331-CT'!$E$7=TH!H1086,OR(N1086="331",O1086="331")),"x","")</f>
        <v/>
      </c>
      <c r="Q1086" s="85" t="str">
        <f>IF(AND(B1086='111'!$L$11,OR($N1086=$Q$7,$O1086=$Q$7)),"x","")</f>
        <v/>
      </c>
      <c r="R1086" s="85" t="str">
        <f>IF(AND($N1086=$Q$7,$B1086&lt;'111'!$L$11),"x","")</f>
        <v/>
      </c>
      <c r="S1086" s="85" t="str">
        <f>IF(AND($O1086=$Q$7,$B1086&lt;'111'!$L$11),"x","")</f>
        <v/>
      </c>
      <c r="T1086" s="85" t="str">
        <f>IF(ISERROR(FIND('112'!$M$9,G1086,1)),"",IF((AND(FIND('112'!$M$9,G1086,1)&gt;=1,B1086='112'!$K$9,OR($N1086='112'!$I$6,$O1086='112'!$I$6))),"x",""))</f>
        <v/>
      </c>
      <c r="U1086" s="85" t="str">
        <f>IF(ISERROR(FIND('112'!$M$9,G1086,1)),"",IF((AND(LEFT(G1086,2)=LEFT('112'!$M$9,2),B1086&lt;'112'!$K$9,$N1086='112'!$I$6)),"x",""))</f>
        <v/>
      </c>
      <c r="V1086" s="85" t="str">
        <f>IF(ISERROR(FIND('112'!$M$9,G1086,1)),"",IF((AND(RIGHT(G1086,2)=RIGHT('112'!$M$9,2),B1086&lt;'112'!$K$9,$O1086='112'!$I$6)),"x",""))</f>
        <v/>
      </c>
      <c r="W1086" s="85" t="str">
        <f>IF(AND('341-CT'!$H$9=H1086,OR(LEFT(N1086,3)=$W$7,LEFT(O1086,3)=$W$7)),"x","")</f>
        <v/>
      </c>
      <c r="X1086" s="85" t="str">
        <f>IF(OR(TH!N1086=TH!$X$7,O1086=TH!$X$7),"x","")</f>
        <v/>
      </c>
      <c r="Y1086" s="85" t="str">
        <f>IF(AND(OR(N1086="131",O1086="131"),H1086='131-CT'!$H$9),"x","")</f>
        <v/>
      </c>
      <c r="Z1086" s="85"/>
      <c r="AA1086" s="85" t="str">
        <f>IF(AND(MONTH(E1086)='IN-NX'!$J$5,'IN-NX'!$D$7=D1086),"x","")</f>
        <v/>
      </c>
      <c r="AB1086" s="85" t="str">
        <f>IF(AND(OR(LEFT(TH!N1086,2)="15",LEFT(TH!O1086,2)="15"),'152-CT'!$J$8=TH!F1086),"x","")</f>
        <v/>
      </c>
      <c r="AC1086" s="85" t="str">
        <f>IF(AND(OR(LEFT(TH!N1086,2)="15",LEFT(TH!O1086,2)="15"),TK!$E$7=TH!F1086),"x","")</f>
        <v/>
      </c>
      <c r="AD1086" s="85" t="str">
        <f>IF(AND(N1086="1521",MONTH(C1086)='BK-NL'!$M$11),"x","")</f>
        <v/>
      </c>
    </row>
    <row r="1087" spans="1:30" ht="15.75" customHeight="1">
      <c r="A1087" s="342" t="str">
        <f>IF(B1087&lt;&gt;"",IF(AND(B1087='IN-TC'!$S$4,OR(TH!N1087="1111",TH!O1087="1111")),TH!D1087,""),"")</f>
        <v/>
      </c>
      <c r="B1087" s="63">
        <f t="shared" si="125"/>
        <v>6</v>
      </c>
      <c r="C1087" s="64">
        <v>42551</v>
      </c>
      <c r="D1087" s="64" t="s">
        <v>585</v>
      </c>
      <c r="E1087" s="64">
        <v>42551</v>
      </c>
      <c r="F1087" s="67" t="s">
        <v>1579</v>
      </c>
      <c r="G1087" s="67"/>
      <c r="H1087" s="74" t="s">
        <v>1523</v>
      </c>
      <c r="I1087" s="446"/>
      <c r="J1087" s="446"/>
      <c r="K1087" s="437"/>
      <c r="L1087" s="446"/>
      <c r="M1087" s="65">
        <v>784485</v>
      </c>
      <c r="N1087" s="66" t="s">
        <v>9</v>
      </c>
      <c r="O1087" s="66">
        <v>331</v>
      </c>
      <c r="P1087" s="85" t="str">
        <f>IF(AND('331-CT'!$E$7=TH!H1087,OR(N1087="331",O1087="331")),"x","")</f>
        <v/>
      </c>
      <c r="Q1087" s="85" t="str">
        <f>IF(AND(B1087='111'!$L$11,OR($N1087=$Q$7,$O1087=$Q$7)),"x","")</f>
        <v/>
      </c>
      <c r="R1087" s="85" t="str">
        <f>IF(AND($N1087=$Q$7,$B1087&lt;'111'!$L$11),"x","")</f>
        <v/>
      </c>
      <c r="S1087" s="85" t="str">
        <f>IF(AND($O1087=$Q$7,$B1087&lt;'111'!$L$11),"x","")</f>
        <v/>
      </c>
      <c r="T1087" s="85" t="str">
        <f>IF(ISERROR(FIND('112'!$M$9,G1087,1)),"",IF((AND(FIND('112'!$M$9,G1087,1)&gt;=1,B1087='112'!$K$9,OR($N1087='112'!$I$6,$O1087='112'!$I$6))),"x",""))</f>
        <v/>
      </c>
      <c r="U1087" s="85" t="str">
        <f>IF(ISERROR(FIND('112'!$M$9,G1087,1)),"",IF((AND(LEFT(G1087,2)=LEFT('112'!$M$9,2),B1087&lt;'112'!$K$9,$N1087='112'!$I$6)),"x",""))</f>
        <v/>
      </c>
      <c r="V1087" s="85" t="str">
        <f>IF(ISERROR(FIND('112'!$M$9,G1087,1)),"",IF((AND(RIGHT(G1087,2)=RIGHT('112'!$M$9,2),B1087&lt;'112'!$K$9,$O1087='112'!$I$6)),"x",""))</f>
        <v/>
      </c>
      <c r="W1087" s="85" t="str">
        <f>IF(AND('341-CT'!$H$9=H1087,OR(LEFT(N1087,3)=$W$7,LEFT(O1087,3)=$W$7)),"x","")</f>
        <v/>
      </c>
      <c r="X1087" s="85" t="str">
        <f>IF(OR(TH!N1087=TH!$X$7,O1087=TH!$X$7),"x","")</f>
        <v/>
      </c>
      <c r="Y1087" s="85" t="str">
        <f>IF(AND(OR(N1087="131",O1087="131"),H1087='131-CT'!$H$9),"x","")</f>
        <v/>
      </c>
      <c r="Z1087" s="85"/>
      <c r="AA1087" s="85" t="str">
        <f>IF(AND(MONTH(E1087)='IN-NX'!$J$5,'IN-NX'!$D$7=D1087),"x","")</f>
        <v/>
      </c>
      <c r="AB1087" s="85" t="str">
        <f>IF(AND(OR(LEFT(TH!N1087,2)="15",LEFT(TH!O1087,2)="15"),'152-CT'!$J$8=TH!F1087),"x","")</f>
        <v/>
      </c>
      <c r="AC1087" s="85" t="str">
        <f>IF(AND(OR(LEFT(TH!N1087,2)="15",LEFT(TH!O1087,2)="15"),TK!$E$7=TH!F1087),"x","")</f>
        <v/>
      </c>
      <c r="AD1087" s="85" t="str">
        <f>IF(AND(N1087="1521",MONTH(C1087)='BK-NL'!$M$11),"x","")</f>
        <v/>
      </c>
    </row>
    <row r="1088" spans="1:30" ht="15.75" customHeight="1">
      <c r="A1088" s="342" t="str">
        <f>IF(B1088&lt;&gt;"",IF(AND(B1088='IN-TC'!$S$4,OR(TH!N1088="1111",TH!O1088="1111")),TH!D1088,""),"")</f>
        <v/>
      </c>
      <c r="B1088" s="63">
        <f t="shared" si="125"/>
        <v>6</v>
      </c>
      <c r="C1088" s="64">
        <v>42551</v>
      </c>
      <c r="D1088" s="64" t="s">
        <v>585</v>
      </c>
      <c r="E1088" s="64">
        <v>42551</v>
      </c>
      <c r="F1088" s="67" t="s">
        <v>1579</v>
      </c>
      <c r="G1088" s="67"/>
      <c r="H1088" s="74" t="s">
        <v>1523</v>
      </c>
      <c r="I1088" s="446"/>
      <c r="J1088" s="446"/>
      <c r="K1088" s="437"/>
      <c r="L1088" s="446"/>
      <c r="M1088" s="65">
        <v>9387000</v>
      </c>
      <c r="N1088" s="66" t="s">
        <v>594</v>
      </c>
      <c r="O1088" s="66">
        <v>331</v>
      </c>
      <c r="P1088" s="85" t="str">
        <f>IF(AND('331-CT'!$E$7=TH!H1088,OR(N1088="331",O1088="331")),"x","")</f>
        <v/>
      </c>
      <c r="Q1088" s="85" t="str">
        <f>IF(AND(B1088='111'!$L$11,OR($N1088=$Q$7,$O1088=$Q$7)),"x","")</f>
        <v/>
      </c>
      <c r="R1088" s="85" t="str">
        <f>IF(AND($N1088=$Q$7,$B1088&lt;'111'!$L$11),"x","")</f>
        <v/>
      </c>
      <c r="S1088" s="85" t="str">
        <f>IF(AND($O1088=$Q$7,$B1088&lt;'111'!$L$11),"x","")</f>
        <v/>
      </c>
      <c r="T1088" s="85" t="str">
        <f>IF(ISERROR(FIND('112'!$M$9,G1088,1)),"",IF((AND(FIND('112'!$M$9,G1088,1)&gt;=1,B1088='112'!$K$9,OR($N1088='112'!$I$6,$O1088='112'!$I$6))),"x",""))</f>
        <v/>
      </c>
      <c r="U1088" s="85" t="str">
        <f>IF(ISERROR(FIND('112'!$M$9,G1088,1)),"",IF((AND(LEFT(G1088,2)=LEFT('112'!$M$9,2),B1088&lt;'112'!$K$9,$N1088='112'!$I$6)),"x",""))</f>
        <v/>
      </c>
      <c r="V1088" s="85" t="str">
        <f>IF(ISERROR(FIND('112'!$M$9,G1088,1)),"",IF((AND(RIGHT(G1088,2)=RIGHT('112'!$M$9,2),B1088&lt;'112'!$K$9,$O1088='112'!$I$6)),"x",""))</f>
        <v/>
      </c>
      <c r="W1088" s="85" t="str">
        <f>IF(AND('341-CT'!$H$9=H1088,OR(LEFT(N1088,3)=$W$7,LEFT(O1088,3)=$W$7)),"x","")</f>
        <v/>
      </c>
      <c r="X1088" s="85" t="str">
        <f>IF(OR(TH!N1088=TH!$X$7,O1088=TH!$X$7),"x","")</f>
        <v/>
      </c>
      <c r="Y1088" s="85" t="str">
        <f>IF(AND(OR(N1088="131",O1088="131"),H1088='131-CT'!$H$9),"x","")</f>
        <v/>
      </c>
      <c r="Z1088" s="85"/>
      <c r="AA1088" s="85" t="str">
        <f>IF(AND(MONTH(E1088)='IN-NX'!$J$5,'IN-NX'!$D$7=D1088),"x","")</f>
        <v/>
      </c>
      <c r="AB1088" s="85" t="str">
        <f>IF(AND(OR(LEFT(TH!N1088,2)="15",LEFT(TH!O1088,2)="15"),'152-CT'!$J$8=TH!F1088),"x","")</f>
        <v/>
      </c>
      <c r="AC1088" s="85" t="str">
        <f>IF(AND(OR(LEFT(TH!N1088,2)="15",LEFT(TH!O1088,2)="15"),TK!$E$7=TH!F1088),"x","")</f>
        <v/>
      </c>
      <c r="AD1088" s="85" t="str">
        <f>IF(AND(N1088="1521",MONTH(C1088)='BK-NL'!$M$11),"x","")</f>
        <v/>
      </c>
    </row>
    <row r="1089" spans="1:30" ht="15.75" customHeight="1">
      <c r="A1089" s="342" t="str">
        <f>IF(B1089&lt;&gt;"",IF(AND(B1089='IN-TC'!$S$4,OR(TH!N1089="1111",TH!O1089="1111")),TH!D1089,""),"")</f>
        <v/>
      </c>
      <c r="B1089" s="63">
        <f t="shared" si="125"/>
        <v>6</v>
      </c>
      <c r="C1089" s="64">
        <v>42529</v>
      </c>
      <c r="D1089" s="64" t="s">
        <v>884</v>
      </c>
      <c r="E1089" s="64">
        <v>42529</v>
      </c>
      <c r="F1089" s="67" t="s">
        <v>1157</v>
      </c>
      <c r="G1089" s="67" t="s">
        <v>928</v>
      </c>
      <c r="H1089" s="74" t="s">
        <v>772</v>
      </c>
      <c r="I1089" s="446"/>
      <c r="J1089" s="446"/>
      <c r="K1089" s="437"/>
      <c r="L1089" s="446"/>
      <c r="M1089" s="65">
        <v>2150000000</v>
      </c>
      <c r="N1089" s="66" t="s">
        <v>63</v>
      </c>
      <c r="O1089" s="66" t="s">
        <v>26</v>
      </c>
      <c r="P1089" s="85" t="str">
        <f>IF(AND('331-CT'!$E$7=TH!H1089,OR(N1089="331",O1089="331")),"x","")</f>
        <v/>
      </c>
      <c r="Q1089" s="85" t="str">
        <f>IF(AND(B1089='111'!$L$11,OR($N1089=$Q$7,$O1089=$Q$7)),"x","")</f>
        <v/>
      </c>
      <c r="R1089" s="85" t="str">
        <f>IF(AND($N1089=$Q$7,$B1089&lt;'111'!$L$11),"x","")</f>
        <v/>
      </c>
      <c r="S1089" s="85" t="str">
        <f>IF(AND($O1089=$Q$7,$B1089&lt;'111'!$L$11),"x","")</f>
        <v/>
      </c>
      <c r="T1089" s="85" t="str">
        <f>IF(ISERROR(FIND('112'!$M$9,G1089,1)),"",IF((AND(FIND('112'!$M$9,G1089,1)&gt;=1,B1089='112'!$K$9,OR($N1089='112'!$I$6,$O1089='112'!$I$6))),"x",""))</f>
        <v/>
      </c>
      <c r="U1089" s="85" t="str">
        <f>IF(ISERROR(FIND('112'!$M$9,G1089,1)),"",IF((AND(LEFT(G1089,2)=LEFT('112'!$M$9,2),B1089&lt;'112'!$K$9,$N1089='112'!$I$6)),"x",""))</f>
        <v/>
      </c>
      <c r="V1089" s="85" t="str">
        <f>IF(ISERROR(FIND('112'!$M$9,G1089,1)),"",IF((AND(RIGHT(G1089,2)=RIGHT('112'!$M$9,2),B1089&lt;'112'!$K$9,$O1089='112'!$I$6)),"x",""))</f>
        <v/>
      </c>
      <c r="W1089" s="85" t="str">
        <f>IF(AND('341-CT'!$H$9=H1089,OR(LEFT(N1089,3)=$W$7,LEFT(O1089,3)=$W$7)),"x","")</f>
        <v/>
      </c>
      <c r="X1089" s="85" t="str">
        <f>IF(OR(TH!N1089=TH!$X$7,O1089=TH!$X$7),"x","")</f>
        <v/>
      </c>
      <c r="Y1089" s="85" t="str">
        <f>IF(AND(OR(N1089="131",O1089="131"),H1089='131-CT'!$H$9),"x","")</f>
        <v/>
      </c>
      <c r="Z1089" s="85"/>
      <c r="AA1089" s="85" t="str">
        <f>IF(AND(MONTH(E1089)='IN-NX'!$J$5,'IN-NX'!$D$7=D1089),"x","")</f>
        <v/>
      </c>
      <c r="AB1089" s="85" t="str">
        <f>IF(AND(OR(LEFT(TH!N1089,2)="15",LEFT(TH!O1089,2)="15"),'152-CT'!$J$8=TH!F1089),"x","")</f>
        <v/>
      </c>
      <c r="AC1089" s="85" t="str">
        <f>IF(AND(OR(LEFT(TH!N1089,2)="15",LEFT(TH!O1089,2)="15"),TK!$E$7=TH!F1089),"x","")</f>
        <v/>
      </c>
      <c r="AD1089" s="85" t="str">
        <f>IF(AND(N1089="1521",MONTH(C1089)='BK-NL'!$M$11),"x","")</f>
        <v/>
      </c>
    </row>
    <row r="1090" spans="1:30" ht="15.75" customHeight="1">
      <c r="A1090" s="342" t="str">
        <f>IF(B1090&lt;&gt;"",IF(AND(B1090='IN-TC'!$S$4,OR(TH!N1090="1111",TH!O1090="1111")),TH!D1090,""),"")</f>
        <v/>
      </c>
      <c r="B1090" s="63">
        <f t="shared" ref="B1090:B1097" si="143">IF(C1090&lt;&gt;"",MONTH(C1090),"")</f>
        <v>6</v>
      </c>
      <c r="C1090" s="64">
        <v>42529</v>
      </c>
      <c r="D1090" s="64" t="s">
        <v>913</v>
      </c>
      <c r="E1090" s="64">
        <v>42529</v>
      </c>
      <c r="F1090" s="67" t="s">
        <v>1157</v>
      </c>
      <c r="G1090" s="67" t="s">
        <v>928</v>
      </c>
      <c r="H1090" s="74" t="s">
        <v>772</v>
      </c>
      <c r="I1090" s="446"/>
      <c r="J1090" s="446"/>
      <c r="K1090" s="437"/>
      <c r="L1090" s="446"/>
      <c r="M1090" s="65">
        <v>1590000000</v>
      </c>
      <c r="N1090" s="66" t="s">
        <v>63</v>
      </c>
      <c r="O1090" s="66" t="s">
        <v>26</v>
      </c>
      <c r="P1090" s="85" t="str">
        <f>IF(AND('331-CT'!$E$7=TH!H1090,OR(N1090="331",O1090="331")),"x","")</f>
        <v/>
      </c>
      <c r="Q1090" s="85" t="str">
        <f>IF(AND(B1090='111'!$L$11,OR($N1090=$Q$7,$O1090=$Q$7)),"x","")</f>
        <v/>
      </c>
      <c r="R1090" s="85" t="str">
        <f>IF(AND($N1090=$Q$7,$B1090&lt;'111'!$L$11),"x","")</f>
        <v/>
      </c>
      <c r="S1090" s="85" t="str">
        <f>IF(AND($O1090=$Q$7,$B1090&lt;'111'!$L$11),"x","")</f>
        <v/>
      </c>
      <c r="T1090" s="85" t="str">
        <f>IF(ISERROR(FIND('112'!$M$9,G1090,1)),"",IF((AND(FIND('112'!$M$9,G1090,1)&gt;=1,B1090='112'!$K$9,OR($N1090='112'!$I$6,$O1090='112'!$I$6))),"x",""))</f>
        <v/>
      </c>
      <c r="U1090" s="85" t="str">
        <f>IF(ISERROR(FIND('112'!$M$9,G1090,1)),"",IF((AND(LEFT(G1090,2)=LEFT('112'!$M$9,2),B1090&lt;'112'!$K$9,$N1090='112'!$I$6)),"x",""))</f>
        <v/>
      </c>
      <c r="V1090" s="85" t="str">
        <f>IF(ISERROR(FIND('112'!$M$9,G1090,1)),"",IF((AND(RIGHT(G1090,2)=RIGHT('112'!$M$9,2),B1090&lt;'112'!$K$9,$O1090='112'!$I$6)),"x",""))</f>
        <v/>
      </c>
      <c r="W1090" s="85" t="str">
        <f>IF(AND('341-CT'!$H$9=H1090,OR(LEFT(N1090,3)=$W$7,LEFT(O1090,3)=$W$7)),"x","")</f>
        <v/>
      </c>
      <c r="X1090" s="85" t="str">
        <f>IF(OR(TH!N1090=TH!$X$7,O1090=TH!$X$7),"x","")</f>
        <v/>
      </c>
      <c r="Y1090" s="85" t="str">
        <f>IF(AND(OR(N1090="131",O1090="131"),H1090='131-CT'!$H$9),"x","")</f>
        <v/>
      </c>
      <c r="Z1090" s="85"/>
      <c r="AA1090" s="85" t="str">
        <f>IF(AND(MONTH(E1090)='IN-NX'!$J$5,'IN-NX'!$D$7=D1090),"x","")</f>
        <v/>
      </c>
      <c r="AB1090" s="85" t="str">
        <f>IF(AND(OR(LEFT(TH!N1090,2)="15",LEFT(TH!O1090,2)="15"),'152-CT'!$J$8=TH!F1090),"x","")</f>
        <v/>
      </c>
      <c r="AC1090" s="85" t="str">
        <f>IF(AND(OR(LEFT(TH!N1090,2)="15",LEFT(TH!O1090,2)="15"),TK!$E$7=TH!F1090),"x","")</f>
        <v/>
      </c>
      <c r="AD1090" s="85" t="str">
        <f>IF(AND(N1090="1521",MONTH(C1090)='BK-NL'!$M$11),"x","")</f>
        <v/>
      </c>
    </row>
    <row r="1091" spans="1:30" ht="15.75" customHeight="1">
      <c r="A1091" s="342" t="str">
        <f>IF(B1091&lt;&gt;"",IF(AND(B1091='IN-TC'!$S$4,OR(TH!N1091="1111",TH!O1091="1111")),TH!D1091,""),"")</f>
        <v/>
      </c>
      <c r="B1091" s="63">
        <f t="shared" si="143"/>
        <v>6</v>
      </c>
      <c r="C1091" s="64">
        <v>42531</v>
      </c>
      <c r="D1091" s="64" t="s">
        <v>916</v>
      </c>
      <c r="E1091" s="64">
        <v>42531</v>
      </c>
      <c r="F1091" s="67" t="s">
        <v>1157</v>
      </c>
      <c r="G1091" s="67" t="s">
        <v>929</v>
      </c>
      <c r="H1091" s="74" t="s">
        <v>772</v>
      </c>
      <c r="I1091" s="446"/>
      <c r="J1091" s="446"/>
      <c r="K1091" s="437"/>
      <c r="L1091" s="446"/>
      <c r="M1091" s="65">
        <v>300000000</v>
      </c>
      <c r="N1091" s="66" t="s">
        <v>63</v>
      </c>
      <c r="O1091" s="66" t="s">
        <v>26</v>
      </c>
      <c r="P1091" s="85" t="str">
        <f>IF(AND('331-CT'!$E$7=TH!H1091,OR(N1091="331",O1091="331")),"x","")</f>
        <v/>
      </c>
      <c r="Q1091" s="85" t="str">
        <f>IF(AND(B1091='111'!$L$11,OR($N1091=$Q$7,$O1091=$Q$7)),"x","")</f>
        <v/>
      </c>
      <c r="R1091" s="85" t="str">
        <f>IF(AND($N1091=$Q$7,$B1091&lt;'111'!$L$11),"x","")</f>
        <v/>
      </c>
      <c r="S1091" s="85" t="str">
        <f>IF(AND($O1091=$Q$7,$B1091&lt;'111'!$L$11),"x","")</f>
        <v/>
      </c>
      <c r="T1091" s="85" t="str">
        <f>IF(ISERROR(FIND('112'!$M$9,G1091,1)),"",IF((AND(FIND('112'!$M$9,G1091,1)&gt;=1,B1091='112'!$K$9,OR($N1091='112'!$I$6,$O1091='112'!$I$6))),"x",""))</f>
        <v/>
      </c>
      <c r="U1091" s="85" t="str">
        <f>IF(ISERROR(FIND('112'!$M$9,G1091,1)),"",IF((AND(LEFT(G1091,2)=LEFT('112'!$M$9,2),B1091&lt;'112'!$K$9,$N1091='112'!$I$6)),"x",""))</f>
        <v/>
      </c>
      <c r="V1091" s="85" t="str">
        <f>IF(ISERROR(FIND('112'!$M$9,G1091,1)),"",IF((AND(RIGHT(G1091,2)=RIGHT('112'!$M$9,2),B1091&lt;'112'!$K$9,$O1091='112'!$I$6)),"x",""))</f>
        <v/>
      </c>
      <c r="W1091" s="85" t="str">
        <f>IF(AND('341-CT'!$H$9=H1091,OR(LEFT(N1091,3)=$W$7,LEFT(O1091,3)=$W$7)),"x","")</f>
        <v/>
      </c>
      <c r="X1091" s="85" t="str">
        <f>IF(OR(TH!N1091=TH!$X$7,O1091=TH!$X$7),"x","")</f>
        <v/>
      </c>
      <c r="Y1091" s="85" t="str">
        <f>IF(AND(OR(N1091="131",O1091="131"),H1091='131-CT'!$H$9),"x","")</f>
        <v/>
      </c>
      <c r="Z1091" s="85"/>
      <c r="AA1091" s="85" t="str">
        <f>IF(AND(MONTH(E1091)='IN-NX'!$J$5,'IN-NX'!$D$7=D1091),"x","")</f>
        <v/>
      </c>
      <c r="AB1091" s="85" t="str">
        <f>IF(AND(OR(LEFT(TH!N1091,2)="15",LEFT(TH!O1091,2)="15"),'152-CT'!$J$8=TH!F1091),"x","")</f>
        <v/>
      </c>
      <c r="AC1091" s="85" t="str">
        <f>IF(AND(OR(LEFT(TH!N1091,2)="15",LEFT(TH!O1091,2)="15"),TK!$E$7=TH!F1091),"x","")</f>
        <v/>
      </c>
      <c r="AD1091" s="85" t="str">
        <f>IF(AND(N1091="1521",MONTH(C1091)='BK-NL'!$M$11),"x","")</f>
        <v/>
      </c>
    </row>
    <row r="1092" spans="1:30" ht="15.75" customHeight="1">
      <c r="A1092" s="342" t="str">
        <f>IF(B1092&lt;&gt;"",IF(AND(B1092='IN-TC'!$S$4,OR(TH!N1092="1111",TH!O1092="1111")),TH!D1092,""),"")</f>
        <v/>
      </c>
      <c r="B1092" s="63">
        <f t="shared" si="143"/>
        <v>6</v>
      </c>
      <c r="C1092" s="64">
        <v>42536</v>
      </c>
      <c r="D1092" s="64" t="s">
        <v>919</v>
      </c>
      <c r="E1092" s="64">
        <v>42536</v>
      </c>
      <c r="F1092" s="67" t="s">
        <v>1157</v>
      </c>
      <c r="G1092" s="67" t="s">
        <v>929</v>
      </c>
      <c r="H1092" s="74" t="s">
        <v>772</v>
      </c>
      <c r="I1092" s="446"/>
      <c r="J1092" s="446"/>
      <c r="K1092" s="437"/>
      <c r="L1092" s="446"/>
      <c r="M1092" s="65">
        <v>460000000</v>
      </c>
      <c r="N1092" s="66" t="s">
        <v>63</v>
      </c>
      <c r="O1092" s="66" t="s">
        <v>26</v>
      </c>
      <c r="P1092" s="85" t="str">
        <f>IF(AND('331-CT'!$E$7=TH!H1092,OR(N1092="331",O1092="331")),"x","")</f>
        <v/>
      </c>
      <c r="Q1092" s="85" t="str">
        <f>IF(AND(B1092='111'!$L$11,OR($N1092=$Q$7,$O1092=$Q$7)),"x","")</f>
        <v/>
      </c>
      <c r="R1092" s="85" t="str">
        <f>IF(AND($N1092=$Q$7,$B1092&lt;'111'!$L$11),"x","")</f>
        <v/>
      </c>
      <c r="S1092" s="85" t="str">
        <f>IF(AND($O1092=$Q$7,$B1092&lt;'111'!$L$11),"x","")</f>
        <v/>
      </c>
      <c r="T1092" s="85" t="str">
        <f>IF(ISERROR(FIND('112'!$M$9,G1092,1)),"",IF((AND(FIND('112'!$M$9,G1092,1)&gt;=1,B1092='112'!$K$9,OR($N1092='112'!$I$6,$O1092='112'!$I$6))),"x",""))</f>
        <v/>
      </c>
      <c r="U1092" s="85" t="str">
        <f>IF(ISERROR(FIND('112'!$M$9,G1092,1)),"",IF((AND(LEFT(G1092,2)=LEFT('112'!$M$9,2),B1092&lt;'112'!$K$9,$N1092='112'!$I$6)),"x",""))</f>
        <v/>
      </c>
      <c r="V1092" s="85" t="str">
        <f>IF(ISERROR(FIND('112'!$M$9,G1092,1)),"",IF((AND(RIGHT(G1092,2)=RIGHT('112'!$M$9,2),B1092&lt;'112'!$K$9,$O1092='112'!$I$6)),"x",""))</f>
        <v/>
      </c>
      <c r="W1092" s="85" t="str">
        <f>IF(AND('341-CT'!$H$9=H1092,OR(LEFT(N1092,3)=$W$7,LEFT(O1092,3)=$W$7)),"x","")</f>
        <v/>
      </c>
      <c r="X1092" s="85" t="str">
        <f>IF(OR(TH!N1092=TH!$X$7,O1092=TH!$X$7),"x","")</f>
        <v/>
      </c>
      <c r="Y1092" s="85" t="str">
        <f>IF(AND(OR(N1092="131",O1092="131"),H1092='131-CT'!$H$9),"x","")</f>
        <v/>
      </c>
      <c r="Z1092" s="85"/>
      <c r="AA1092" s="85" t="str">
        <f>IF(AND(MONTH(E1092)='IN-NX'!$J$5,'IN-NX'!$D$7=D1092),"x","")</f>
        <v/>
      </c>
      <c r="AB1092" s="85" t="str">
        <f>IF(AND(OR(LEFT(TH!N1092,2)="15",LEFT(TH!O1092,2)="15"),'152-CT'!$J$8=TH!F1092),"x","")</f>
        <v/>
      </c>
      <c r="AC1092" s="85" t="str">
        <f>IF(AND(OR(LEFT(TH!N1092,2)="15",LEFT(TH!O1092,2)="15"),TK!$E$7=TH!F1092),"x","")</f>
        <v/>
      </c>
      <c r="AD1092" s="85" t="str">
        <f>IF(AND(N1092="1521",MONTH(C1092)='BK-NL'!$M$11),"x","")</f>
        <v/>
      </c>
    </row>
    <row r="1093" spans="1:30" ht="15.75" customHeight="1">
      <c r="A1093" s="342" t="str">
        <f>IF(B1093&lt;&gt;"",IF(AND(B1093='IN-TC'!$S$4,OR(TH!N1093="1111",TH!O1093="1111")),TH!D1093,""),"")</f>
        <v/>
      </c>
      <c r="B1093" s="63">
        <f t="shared" si="143"/>
        <v>6</v>
      </c>
      <c r="C1093" s="64">
        <v>42538</v>
      </c>
      <c r="D1093" s="64" t="s">
        <v>920</v>
      </c>
      <c r="E1093" s="64">
        <v>42538</v>
      </c>
      <c r="F1093" s="67" t="s">
        <v>1157</v>
      </c>
      <c r="G1093" s="67" t="s">
        <v>929</v>
      </c>
      <c r="H1093" s="74" t="s">
        <v>772</v>
      </c>
      <c r="I1093" s="446"/>
      <c r="J1093" s="446"/>
      <c r="K1093" s="437"/>
      <c r="L1093" s="446"/>
      <c r="M1093" s="65">
        <v>40000000</v>
      </c>
      <c r="N1093" s="66" t="s">
        <v>63</v>
      </c>
      <c r="O1093" s="66" t="s">
        <v>26</v>
      </c>
      <c r="P1093" s="85" t="str">
        <f>IF(AND('331-CT'!$E$7=TH!H1093,OR(N1093="331",O1093="331")),"x","")</f>
        <v/>
      </c>
      <c r="Q1093" s="85" t="str">
        <f>IF(AND(B1093='111'!$L$11,OR($N1093=$Q$7,$O1093=$Q$7)),"x","")</f>
        <v/>
      </c>
      <c r="R1093" s="85" t="str">
        <f>IF(AND($N1093=$Q$7,$B1093&lt;'111'!$L$11),"x","")</f>
        <v/>
      </c>
      <c r="S1093" s="85" t="str">
        <f>IF(AND($O1093=$Q$7,$B1093&lt;'111'!$L$11),"x","")</f>
        <v/>
      </c>
      <c r="T1093" s="85" t="str">
        <f>IF(ISERROR(FIND('112'!$M$9,G1093,1)),"",IF((AND(FIND('112'!$M$9,G1093,1)&gt;=1,B1093='112'!$K$9,OR($N1093='112'!$I$6,$O1093='112'!$I$6))),"x",""))</f>
        <v/>
      </c>
      <c r="U1093" s="85" t="str">
        <f>IF(ISERROR(FIND('112'!$M$9,G1093,1)),"",IF((AND(LEFT(G1093,2)=LEFT('112'!$M$9,2),B1093&lt;'112'!$K$9,$N1093='112'!$I$6)),"x",""))</f>
        <v/>
      </c>
      <c r="V1093" s="85" t="str">
        <f>IF(ISERROR(FIND('112'!$M$9,G1093,1)),"",IF((AND(RIGHT(G1093,2)=RIGHT('112'!$M$9,2),B1093&lt;'112'!$K$9,$O1093='112'!$I$6)),"x",""))</f>
        <v/>
      </c>
      <c r="W1093" s="85" t="str">
        <f>IF(AND('341-CT'!$H$9=H1093,OR(LEFT(N1093,3)=$W$7,LEFT(O1093,3)=$W$7)),"x","")</f>
        <v/>
      </c>
      <c r="X1093" s="85" t="str">
        <f>IF(OR(TH!N1093=TH!$X$7,O1093=TH!$X$7),"x","")</f>
        <v/>
      </c>
      <c r="Y1093" s="85" t="str">
        <f>IF(AND(OR(N1093="131",O1093="131"),H1093='131-CT'!$H$9),"x","")</f>
        <v/>
      </c>
      <c r="Z1093" s="85"/>
      <c r="AA1093" s="85" t="str">
        <f>IF(AND(MONTH(E1093)='IN-NX'!$J$5,'IN-NX'!$D$7=D1093),"x","")</f>
        <v/>
      </c>
      <c r="AB1093" s="85" t="str">
        <f>IF(AND(OR(LEFT(TH!N1093,2)="15",LEFT(TH!O1093,2)="15"),'152-CT'!$J$8=TH!F1093),"x","")</f>
        <v/>
      </c>
      <c r="AC1093" s="85" t="str">
        <f>IF(AND(OR(LEFT(TH!N1093,2)="15",LEFT(TH!O1093,2)="15"),TK!$E$7=TH!F1093),"x","")</f>
        <v/>
      </c>
      <c r="AD1093" s="85" t="str">
        <f>IF(AND(N1093="1521",MONTH(C1093)='BK-NL'!$M$11),"x","")</f>
        <v/>
      </c>
    </row>
    <row r="1094" spans="1:30" ht="15.75" customHeight="1">
      <c r="A1094" s="342" t="str">
        <f>IF(B1094&lt;&gt;"",IF(AND(B1094='IN-TC'!$S$4,OR(TH!N1094="1111",TH!O1094="1111")),TH!D1094,""),"")</f>
        <v/>
      </c>
      <c r="B1094" s="63">
        <f t="shared" si="143"/>
        <v>6</v>
      </c>
      <c r="C1094" s="64">
        <v>42539</v>
      </c>
      <c r="D1094" s="64" t="s">
        <v>927</v>
      </c>
      <c r="E1094" s="64">
        <v>42539</v>
      </c>
      <c r="F1094" s="67" t="s">
        <v>1157</v>
      </c>
      <c r="G1094" s="67" t="s">
        <v>929</v>
      </c>
      <c r="H1094" s="74" t="s">
        <v>772</v>
      </c>
      <c r="I1094" s="446"/>
      <c r="J1094" s="446"/>
      <c r="K1094" s="437"/>
      <c r="L1094" s="446"/>
      <c r="M1094" s="65">
        <v>160000000</v>
      </c>
      <c r="N1094" s="66" t="s">
        <v>63</v>
      </c>
      <c r="O1094" s="66" t="s">
        <v>26</v>
      </c>
      <c r="P1094" s="85" t="str">
        <f>IF(AND('331-CT'!$E$7=TH!H1094,OR(N1094="331",O1094="331")),"x","")</f>
        <v/>
      </c>
      <c r="Q1094" s="85" t="str">
        <f>IF(AND(B1094='111'!$L$11,OR($N1094=$Q$7,$O1094=$Q$7)),"x","")</f>
        <v/>
      </c>
      <c r="R1094" s="85" t="str">
        <f>IF(AND($N1094=$Q$7,$B1094&lt;'111'!$L$11),"x","")</f>
        <v/>
      </c>
      <c r="S1094" s="85" t="str">
        <f>IF(AND($O1094=$Q$7,$B1094&lt;'111'!$L$11),"x","")</f>
        <v/>
      </c>
      <c r="T1094" s="85" t="str">
        <f>IF(ISERROR(FIND('112'!$M$9,G1094,1)),"",IF((AND(FIND('112'!$M$9,G1094,1)&gt;=1,B1094='112'!$K$9,OR($N1094='112'!$I$6,$O1094='112'!$I$6))),"x",""))</f>
        <v/>
      </c>
      <c r="U1094" s="85" t="str">
        <f>IF(ISERROR(FIND('112'!$M$9,G1094,1)),"",IF((AND(LEFT(G1094,2)=LEFT('112'!$M$9,2),B1094&lt;'112'!$K$9,$N1094='112'!$I$6)),"x",""))</f>
        <v/>
      </c>
      <c r="V1094" s="85" t="str">
        <f>IF(ISERROR(FIND('112'!$M$9,G1094,1)),"",IF((AND(RIGHT(G1094,2)=RIGHT('112'!$M$9,2),B1094&lt;'112'!$K$9,$O1094='112'!$I$6)),"x",""))</f>
        <v/>
      </c>
      <c r="W1094" s="85" t="str">
        <f>IF(AND('341-CT'!$H$9=H1094,OR(LEFT(N1094,3)=$W$7,LEFT(O1094,3)=$W$7)),"x","")</f>
        <v/>
      </c>
      <c r="X1094" s="85" t="str">
        <f>IF(OR(TH!N1094=TH!$X$7,O1094=TH!$X$7),"x","")</f>
        <v/>
      </c>
      <c r="Y1094" s="85" t="str">
        <f>IF(AND(OR(N1094="131",O1094="131"),H1094='131-CT'!$H$9),"x","")</f>
        <v/>
      </c>
      <c r="Z1094" s="85"/>
      <c r="AA1094" s="85" t="str">
        <f>IF(AND(MONTH(E1094)='IN-NX'!$J$5,'IN-NX'!$D$7=D1094),"x","")</f>
        <v/>
      </c>
      <c r="AB1094" s="85" t="str">
        <f>IF(AND(OR(LEFT(TH!N1094,2)="15",LEFT(TH!O1094,2)="15"),'152-CT'!$J$8=TH!F1094),"x","")</f>
        <v/>
      </c>
      <c r="AC1094" s="85" t="str">
        <f>IF(AND(OR(LEFT(TH!N1094,2)="15",LEFT(TH!O1094,2)="15"),TK!$E$7=TH!F1094),"x","")</f>
        <v/>
      </c>
      <c r="AD1094" s="85" t="str">
        <f>IF(AND(N1094="1521",MONTH(C1094)='BK-NL'!$M$11),"x","")</f>
        <v/>
      </c>
    </row>
    <row r="1095" spans="1:30" ht="15.75" customHeight="1">
      <c r="A1095" s="342" t="str">
        <f>IF(B1095&lt;&gt;"",IF(AND(B1095='IN-TC'!$S$4,OR(TH!N1095="1111",TH!O1095="1111")),TH!D1095,""),"")</f>
        <v/>
      </c>
      <c r="B1095" s="63">
        <f t="shared" si="143"/>
        <v>6</v>
      </c>
      <c r="C1095" s="64">
        <v>42542</v>
      </c>
      <c r="D1095" s="64" t="s">
        <v>1583</v>
      </c>
      <c r="E1095" s="64">
        <v>42542</v>
      </c>
      <c r="F1095" s="67" t="s">
        <v>1157</v>
      </c>
      <c r="G1095" s="67" t="s">
        <v>929</v>
      </c>
      <c r="H1095" s="74" t="s">
        <v>772</v>
      </c>
      <c r="I1095" s="446"/>
      <c r="J1095" s="446"/>
      <c r="K1095" s="437"/>
      <c r="L1095" s="446"/>
      <c r="M1095" s="65">
        <v>1700000000</v>
      </c>
      <c r="N1095" s="66" t="s">
        <v>63</v>
      </c>
      <c r="O1095" s="66" t="s">
        <v>26</v>
      </c>
      <c r="P1095" s="85" t="str">
        <f>IF(AND('331-CT'!$E$7=TH!H1095,OR(N1095="331",O1095="331")),"x","")</f>
        <v/>
      </c>
      <c r="Q1095" s="85" t="str">
        <f>IF(AND(B1095='111'!$L$11,OR($N1095=$Q$7,$O1095=$Q$7)),"x","")</f>
        <v/>
      </c>
      <c r="R1095" s="85" t="str">
        <f>IF(AND($N1095=$Q$7,$B1095&lt;'111'!$L$11),"x","")</f>
        <v/>
      </c>
      <c r="S1095" s="85" t="str">
        <f>IF(AND($O1095=$Q$7,$B1095&lt;'111'!$L$11),"x","")</f>
        <v/>
      </c>
      <c r="T1095" s="85" t="str">
        <f>IF(ISERROR(FIND('112'!$M$9,G1095,1)),"",IF((AND(FIND('112'!$M$9,G1095,1)&gt;=1,B1095='112'!$K$9,OR($N1095='112'!$I$6,$O1095='112'!$I$6))),"x",""))</f>
        <v/>
      </c>
      <c r="U1095" s="85" t="str">
        <f>IF(ISERROR(FIND('112'!$M$9,G1095,1)),"",IF((AND(LEFT(G1095,2)=LEFT('112'!$M$9,2),B1095&lt;'112'!$K$9,$N1095='112'!$I$6)),"x",""))</f>
        <v/>
      </c>
      <c r="V1095" s="85" t="str">
        <f>IF(ISERROR(FIND('112'!$M$9,G1095,1)),"",IF((AND(RIGHT(G1095,2)=RIGHT('112'!$M$9,2),B1095&lt;'112'!$K$9,$O1095='112'!$I$6)),"x",""))</f>
        <v/>
      </c>
      <c r="W1095" s="85" t="str">
        <f>IF(AND('341-CT'!$H$9=H1095,OR(LEFT(N1095,3)=$W$7,LEFT(O1095,3)=$W$7)),"x","")</f>
        <v/>
      </c>
      <c r="X1095" s="85" t="str">
        <f>IF(OR(TH!N1095=TH!$X$7,O1095=TH!$X$7),"x","")</f>
        <v/>
      </c>
      <c r="Y1095" s="85" t="str">
        <f>IF(AND(OR(N1095="131",O1095="131"),H1095='131-CT'!$H$9),"x","")</f>
        <v/>
      </c>
      <c r="Z1095" s="85"/>
      <c r="AA1095" s="85" t="str">
        <f>IF(AND(MONTH(E1095)='IN-NX'!$J$5,'IN-NX'!$D$7=D1095),"x","")</f>
        <v/>
      </c>
      <c r="AB1095" s="85" t="str">
        <f>IF(AND(OR(LEFT(TH!N1095,2)="15",LEFT(TH!O1095,2)="15"),'152-CT'!$J$8=TH!F1095),"x","")</f>
        <v/>
      </c>
      <c r="AC1095" s="85" t="str">
        <f>IF(AND(OR(LEFT(TH!N1095,2)="15",LEFT(TH!O1095,2)="15"),TK!$E$7=TH!F1095),"x","")</f>
        <v/>
      </c>
      <c r="AD1095" s="85" t="str">
        <f>IF(AND(N1095="1521",MONTH(C1095)='BK-NL'!$M$11),"x","")</f>
        <v/>
      </c>
    </row>
    <row r="1096" spans="1:30" ht="15.75" customHeight="1">
      <c r="A1096" s="342" t="str">
        <f>IF(B1096&lt;&gt;"",IF(AND(B1096='IN-TC'!$S$4,OR(TH!N1096="1111",TH!O1096="1111")),TH!D1096,""),"")</f>
        <v/>
      </c>
      <c r="B1096" s="63">
        <f t="shared" si="143"/>
        <v>6</v>
      </c>
      <c r="C1096" s="64">
        <v>42544</v>
      </c>
      <c r="D1096" s="64" t="s">
        <v>1584</v>
      </c>
      <c r="E1096" s="64">
        <v>42544</v>
      </c>
      <c r="F1096" s="67" t="s">
        <v>1157</v>
      </c>
      <c r="G1096" s="67" t="s">
        <v>928</v>
      </c>
      <c r="H1096" s="74" t="s">
        <v>772</v>
      </c>
      <c r="I1096" s="446"/>
      <c r="J1096" s="446"/>
      <c r="K1096" s="437"/>
      <c r="L1096" s="446"/>
      <c r="M1096" s="65">
        <v>1960000000</v>
      </c>
      <c r="N1096" s="66" t="s">
        <v>63</v>
      </c>
      <c r="O1096" s="66" t="s">
        <v>26</v>
      </c>
      <c r="P1096" s="85" t="str">
        <f>IF(AND('331-CT'!$E$7=TH!H1096,OR(N1096="331",O1096="331")),"x","")</f>
        <v/>
      </c>
      <c r="Q1096" s="85" t="str">
        <f>IF(AND(B1096='111'!$L$11,OR($N1096=$Q$7,$O1096=$Q$7)),"x","")</f>
        <v/>
      </c>
      <c r="R1096" s="85" t="str">
        <f>IF(AND($N1096=$Q$7,$B1096&lt;'111'!$L$11),"x","")</f>
        <v/>
      </c>
      <c r="S1096" s="85" t="str">
        <f>IF(AND($O1096=$Q$7,$B1096&lt;'111'!$L$11),"x","")</f>
        <v/>
      </c>
      <c r="T1096" s="85" t="str">
        <f>IF(ISERROR(FIND('112'!$M$9,G1096,1)),"",IF((AND(FIND('112'!$M$9,G1096,1)&gt;=1,B1096='112'!$K$9,OR($N1096='112'!$I$6,$O1096='112'!$I$6))),"x",""))</f>
        <v/>
      </c>
      <c r="U1096" s="85" t="str">
        <f>IF(ISERROR(FIND('112'!$M$9,G1096,1)),"",IF((AND(LEFT(G1096,2)=LEFT('112'!$M$9,2),B1096&lt;'112'!$K$9,$N1096='112'!$I$6)),"x",""))</f>
        <v/>
      </c>
      <c r="V1096" s="85" t="str">
        <f>IF(ISERROR(FIND('112'!$M$9,G1096,1)),"",IF((AND(RIGHT(G1096,2)=RIGHT('112'!$M$9,2),B1096&lt;'112'!$K$9,$O1096='112'!$I$6)),"x",""))</f>
        <v/>
      </c>
      <c r="W1096" s="85" t="str">
        <f>IF(AND('341-CT'!$H$9=H1096,OR(LEFT(N1096,3)=$W$7,LEFT(O1096,3)=$W$7)),"x","")</f>
        <v/>
      </c>
      <c r="X1096" s="85" t="str">
        <f>IF(OR(TH!N1096=TH!$X$7,O1096=TH!$X$7),"x","")</f>
        <v/>
      </c>
      <c r="Y1096" s="85" t="str">
        <f>IF(AND(OR(N1096="131",O1096="131"),H1096='131-CT'!$H$9),"x","")</f>
        <v/>
      </c>
      <c r="Z1096" s="85"/>
      <c r="AA1096" s="85" t="str">
        <f>IF(AND(MONTH(E1096)='IN-NX'!$J$5,'IN-NX'!$D$7=D1096),"x","")</f>
        <v/>
      </c>
      <c r="AB1096" s="85" t="str">
        <f>IF(AND(OR(LEFT(TH!N1096,2)="15",LEFT(TH!O1096,2)="15"),'152-CT'!$J$8=TH!F1096),"x","")</f>
        <v/>
      </c>
      <c r="AC1096" s="85" t="str">
        <f>IF(AND(OR(LEFT(TH!N1096,2)="15",LEFT(TH!O1096,2)="15"),TK!$E$7=TH!F1096),"x","")</f>
        <v/>
      </c>
      <c r="AD1096" s="85" t="str">
        <f>IF(AND(N1096="1521",MONTH(C1096)='BK-NL'!$M$11),"x","")</f>
        <v/>
      </c>
    </row>
    <row r="1097" spans="1:30" ht="15.75" customHeight="1">
      <c r="A1097" s="342" t="str">
        <f>IF(B1097&lt;&gt;"",IF(AND(B1097='IN-TC'!$S$4,OR(TH!N1097="1111",TH!O1097="1111")),TH!D1097,""),"")</f>
        <v/>
      </c>
      <c r="B1097" s="63">
        <f t="shared" si="143"/>
        <v>6</v>
      </c>
      <c r="C1097" s="64">
        <v>42545</v>
      </c>
      <c r="D1097" s="64" t="s">
        <v>1585</v>
      </c>
      <c r="E1097" s="64">
        <v>42545</v>
      </c>
      <c r="F1097" s="67" t="s">
        <v>1157</v>
      </c>
      <c r="G1097" s="67" t="s">
        <v>1586</v>
      </c>
      <c r="H1097" s="74" t="s">
        <v>772</v>
      </c>
      <c r="I1097" s="446"/>
      <c r="J1097" s="446"/>
      <c r="K1097" s="437"/>
      <c r="L1097" s="446"/>
      <c r="M1097" s="65">
        <v>3348750000</v>
      </c>
      <c r="N1097" s="66" t="s">
        <v>63</v>
      </c>
      <c r="O1097" s="66" t="s">
        <v>26</v>
      </c>
      <c r="P1097" s="85" t="str">
        <f>IF(AND('331-CT'!$E$7=TH!H1097,OR(N1097="331",O1097="331")),"x","")</f>
        <v/>
      </c>
      <c r="Q1097" s="85" t="str">
        <f>IF(AND(B1097='111'!$L$11,OR($N1097=$Q$7,$O1097=$Q$7)),"x","")</f>
        <v/>
      </c>
      <c r="R1097" s="85" t="str">
        <f>IF(AND($N1097=$Q$7,$B1097&lt;'111'!$L$11),"x","")</f>
        <v/>
      </c>
      <c r="S1097" s="85" t="str">
        <f>IF(AND($O1097=$Q$7,$B1097&lt;'111'!$L$11),"x","")</f>
        <v/>
      </c>
      <c r="T1097" s="85" t="str">
        <f>IF(ISERROR(FIND('112'!$M$9,G1097,1)),"",IF((AND(FIND('112'!$M$9,G1097,1)&gt;=1,B1097='112'!$K$9,OR($N1097='112'!$I$6,$O1097='112'!$I$6))),"x",""))</f>
        <v/>
      </c>
      <c r="U1097" s="85" t="str">
        <f>IF(ISERROR(FIND('112'!$M$9,G1097,1)),"",IF((AND(LEFT(G1097,2)=LEFT('112'!$M$9,2),B1097&lt;'112'!$K$9,$N1097='112'!$I$6)),"x",""))</f>
        <v/>
      </c>
      <c r="V1097" s="85" t="str">
        <f>IF(ISERROR(FIND('112'!$M$9,G1097,1)),"",IF((AND(RIGHT(G1097,2)=RIGHT('112'!$M$9,2),B1097&lt;'112'!$K$9,$O1097='112'!$I$6)),"x",""))</f>
        <v/>
      </c>
      <c r="W1097" s="85" t="str">
        <f>IF(AND('341-CT'!$H$9=H1097,OR(LEFT(N1097,3)=$W$7,LEFT(O1097,3)=$W$7)),"x","")</f>
        <v/>
      </c>
      <c r="X1097" s="85" t="str">
        <f>IF(OR(TH!N1097=TH!$X$7,O1097=TH!$X$7),"x","")</f>
        <v/>
      </c>
      <c r="Y1097" s="85" t="str">
        <f>IF(AND(OR(N1097="131",O1097="131"),H1097='131-CT'!$H$9),"x","")</f>
        <v/>
      </c>
      <c r="Z1097" s="85"/>
      <c r="AA1097" s="85" t="str">
        <f>IF(AND(MONTH(E1097)='IN-NX'!$J$5,'IN-NX'!$D$7=D1097),"x","")</f>
        <v/>
      </c>
      <c r="AB1097" s="85" t="str">
        <f>IF(AND(OR(LEFT(TH!N1097,2)="15",LEFT(TH!O1097,2)="15"),'152-CT'!$J$8=TH!F1097),"x","")</f>
        <v/>
      </c>
      <c r="AC1097" s="85" t="str">
        <f>IF(AND(OR(LEFT(TH!N1097,2)="15",LEFT(TH!O1097,2)="15"),TK!$E$7=TH!F1097),"x","")</f>
        <v/>
      </c>
      <c r="AD1097" s="85" t="str">
        <f>IF(AND(N1097="1521",MONTH(C1097)='BK-NL'!$M$11),"x","")</f>
        <v/>
      </c>
    </row>
    <row r="1098" spans="1:30" ht="15.75" customHeight="1">
      <c r="A1098" s="342" t="str">
        <f>IF(B1098&lt;&gt;"",IF(AND(B1098='IN-TC'!$S$4,OR(TH!N1098="1111",TH!O1098="1111")),TH!D1098,""),"")</f>
        <v/>
      </c>
      <c r="B1098" s="63">
        <f t="shared" ref="B1098:B1111" si="144">IF(C1098&lt;&gt;"",MONTH(C1098),"")</f>
        <v>6</v>
      </c>
      <c r="C1098" s="64">
        <v>42522</v>
      </c>
      <c r="D1098" s="64"/>
      <c r="E1098" s="64">
        <v>42479</v>
      </c>
      <c r="F1098" s="67" t="s">
        <v>641</v>
      </c>
      <c r="G1098" s="995" t="s">
        <v>1587</v>
      </c>
      <c r="H1098" s="74" t="s">
        <v>841</v>
      </c>
      <c r="I1098" s="446"/>
      <c r="J1098" s="446"/>
      <c r="K1098" s="437"/>
      <c r="L1098" s="446"/>
      <c r="M1098" s="65">
        <v>400000</v>
      </c>
      <c r="N1098" s="66" t="s">
        <v>101</v>
      </c>
      <c r="O1098" s="66" t="s">
        <v>63</v>
      </c>
      <c r="P1098" s="85" t="str">
        <f>IF(AND('331-CT'!$E$7=TH!H1098,OR(N1098="331",O1098="331")),"x","")</f>
        <v/>
      </c>
      <c r="Q1098" s="85" t="str">
        <f>IF(AND(B1098='111'!$L$11,OR($N1098=$Q$7,$O1098=$Q$7)),"x","")</f>
        <v/>
      </c>
      <c r="R1098" s="85" t="str">
        <f>IF(AND($N1098=$Q$7,$B1098&lt;'111'!$L$11),"x","")</f>
        <v/>
      </c>
      <c r="S1098" s="85" t="str">
        <f>IF(AND($O1098=$Q$7,$B1098&lt;'111'!$L$11),"x","")</f>
        <v/>
      </c>
      <c r="T1098" s="85" t="str">
        <f>IF(ISERROR(FIND('112'!$M$9,G1098,1)),"",IF((AND(FIND('112'!$M$9,G1098,1)&gt;=1,B1098='112'!$K$9,OR($N1098='112'!$I$6,$O1098='112'!$I$6))),"x",""))</f>
        <v/>
      </c>
      <c r="U1098" s="85" t="str">
        <f>IF(ISERROR(FIND('112'!$M$9,G1098,1)),"",IF((AND(LEFT(G1098,2)=LEFT('112'!$M$9,2),B1098&lt;'112'!$K$9,$N1098='112'!$I$6)),"x",""))</f>
        <v/>
      </c>
      <c r="V1098" s="85" t="str">
        <f>IF(ISERROR(FIND('112'!$M$9,G1098,1)),"",IF((AND(RIGHT(G1098,2)=RIGHT('112'!$M$9,2),B1098&lt;'112'!$K$9,$O1098='112'!$I$6)),"x",""))</f>
        <v/>
      </c>
      <c r="W1098" s="85" t="str">
        <f>IF(AND('341-CT'!$H$9=H1098,OR(LEFT(N1098,3)=$W$7,LEFT(O1098,3)=$W$7)),"x","")</f>
        <v/>
      </c>
      <c r="X1098" s="85" t="str">
        <f>IF(OR(TH!N1098=TH!$X$7,O1098=TH!$X$7),"x","")</f>
        <v/>
      </c>
      <c r="Y1098" s="85" t="str">
        <f>IF(AND(OR(N1098="131",O1098="131"),H1098='131-CT'!$H$9),"x","")</f>
        <v/>
      </c>
      <c r="Z1098" s="85"/>
      <c r="AA1098" s="85" t="str">
        <f>IF(AND(MONTH(E1098)='IN-NX'!$J$5,'IN-NX'!$D$7=D1098),"x","")</f>
        <v/>
      </c>
      <c r="AB1098" s="85" t="str">
        <f>IF(AND(OR(LEFT(TH!N1098,2)="15",LEFT(TH!O1098,2)="15"),'152-CT'!$J$8=TH!F1098),"x","")</f>
        <v/>
      </c>
      <c r="AC1098" s="85" t="str">
        <f>IF(AND(OR(LEFT(TH!N1098,2)="15",LEFT(TH!O1098,2)="15"),TK!$E$7=TH!F1098),"x","")</f>
        <v/>
      </c>
      <c r="AD1098" s="85" t="str">
        <f>IF(AND(N1098="1521",MONTH(C1098)='BK-NL'!$M$11),"x","")</f>
        <v/>
      </c>
    </row>
    <row r="1099" spans="1:30" ht="15.75" customHeight="1">
      <c r="A1099" s="342" t="str">
        <f>IF(B1099&lt;&gt;"",IF(AND(B1099='IN-TC'!$S$4,OR(TH!N1099="1111",TH!O1099="1111")),TH!D1099,""),"")</f>
        <v/>
      </c>
      <c r="B1099" s="63">
        <f t="shared" ref="B1099" si="145">IF(C1099&lt;&gt;"",MONTH(C1099),"")</f>
        <v>6</v>
      </c>
      <c r="C1099" s="64">
        <v>42522</v>
      </c>
      <c r="D1099" s="64"/>
      <c r="E1099" s="64">
        <v>42479</v>
      </c>
      <c r="F1099" s="67" t="s">
        <v>1555</v>
      </c>
      <c r="G1099" s="995" t="s">
        <v>1587</v>
      </c>
      <c r="H1099" s="74" t="s">
        <v>841</v>
      </c>
      <c r="I1099" s="446"/>
      <c r="J1099" s="446"/>
      <c r="K1099" s="437"/>
      <c r="L1099" s="446"/>
      <c r="M1099" s="65">
        <v>20000</v>
      </c>
      <c r="N1099" s="66" t="s">
        <v>9</v>
      </c>
      <c r="O1099" s="66" t="s">
        <v>63</v>
      </c>
      <c r="P1099" s="85" t="str">
        <f>IF(AND('331-CT'!$E$7=TH!H1099,OR(N1099="331",O1099="331")),"x","")</f>
        <v/>
      </c>
      <c r="Q1099" s="85" t="str">
        <f>IF(AND(B1099='111'!$L$11,OR($N1099=$Q$7,$O1099=$Q$7)),"x","")</f>
        <v/>
      </c>
      <c r="R1099" s="85" t="str">
        <f>IF(AND($N1099=$Q$7,$B1099&lt;'111'!$L$11),"x","")</f>
        <v/>
      </c>
      <c r="S1099" s="85" t="str">
        <f>IF(AND($O1099=$Q$7,$B1099&lt;'111'!$L$11),"x","")</f>
        <v/>
      </c>
      <c r="T1099" s="85" t="str">
        <f>IF(ISERROR(FIND('112'!$M$9,G1099,1)),"",IF((AND(FIND('112'!$M$9,G1099,1)&gt;=1,B1099='112'!$K$9,OR($N1099='112'!$I$6,$O1099='112'!$I$6))),"x",""))</f>
        <v/>
      </c>
      <c r="U1099" s="85" t="str">
        <f>IF(ISERROR(FIND('112'!$M$9,G1099,1)),"",IF((AND(LEFT(G1099,2)=LEFT('112'!$M$9,2),B1099&lt;'112'!$K$9,$N1099='112'!$I$6)),"x",""))</f>
        <v/>
      </c>
      <c r="V1099" s="85" t="str">
        <f>IF(ISERROR(FIND('112'!$M$9,G1099,1)),"",IF((AND(RIGHT(G1099,2)=RIGHT('112'!$M$9,2),B1099&lt;'112'!$K$9,$O1099='112'!$I$6)),"x",""))</f>
        <v/>
      </c>
      <c r="W1099" s="85" t="str">
        <f>IF(AND('341-CT'!$H$9=H1099,OR(LEFT(N1099,3)=$W$7,LEFT(O1099,3)=$W$7)),"x","")</f>
        <v/>
      </c>
      <c r="X1099" s="85" t="str">
        <f>IF(OR(TH!N1099=TH!$X$7,O1099=TH!$X$7),"x","")</f>
        <v/>
      </c>
      <c r="Y1099" s="85" t="str">
        <f>IF(AND(OR(N1099="131",O1099="131"),H1099='131-CT'!$H$9),"x","")</f>
        <v/>
      </c>
      <c r="Z1099" s="85"/>
      <c r="AA1099" s="85" t="str">
        <f>IF(AND(MONTH(E1099)='IN-NX'!$J$5,'IN-NX'!$D$7=D1099),"x","")</f>
        <v/>
      </c>
      <c r="AB1099" s="85" t="str">
        <f>IF(AND(OR(LEFT(TH!N1099,2)="15",LEFT(TH!O1099,2)="15"),'152-CT'!$J$8=TH!F1099),"x","")</f>
        <v/>
      </c>
      <c r="AC1099" s="85" t="str">
        <f>IF(AND(OR(LEFT(TH!N1099,2)="15",LEFT(TH!O1099,2)="15"),TK!$E$7=TH!F1099),"x","")</f>
        <v/>
      </c>
      <c r="AD1099" s="85" t="str">
        <f>IF(AND(N1099="1521",MONTH(C1099)='BK-NL'!$M$11),"x","")</f>
        <v/>
      </c>
    </row>
    <row r="1100" spans="1:30" ht="15.75" customHeight="1">
      <c r="A1100" s="342" t="str">
        <f>IF(B1100&lt;&gt;"",IF(AND(B1100='IN-TC'!$S$4,OR(TH!N1100="1111",TH!O1100="1111")),TH!D1100,""),"")</f>
        <v/>
      </c>
      <c r="B1100" s="63">
        <f t="shared" si="144"/>
        <v>6</v>
      </c>
      <c r="C1100" s="64">
        <v>42522</v>
      </c>
      <c r="D1100" s="64"/>
      <c r="E1100" s="64">
        <v>42521</v>
      </c>
      <c r="F1100" s="67" t="s">
        <v>1588</v>
      </c>
      <c r="G1100" s="995" t="s">
        <v>1590</v>
      </c>
      <c r="H1100" s="74" t="s">
        <v>812</v>
      </c>
      <c r="I1100" s="446"/>
      <c r="J1100" s="446"/>
      <c r="K1100" s="437"/>
      <c r="L1100" s="446"/>
      <c r="M1100" s="65">
        <v>46000</v>
      </c>
      <c r="N1100" s="66" t="s">
        <v>101</v>
      </c>
      <c r="O1100" s="66" t="s">
        <v>63</v>
      </c>
      <c r="P1100" s="85" t="str">
        <f>IF(AND('331-CT'!$E$7=TH!H1100,OR(N1100="331",O1100="331")),"x","")</f>
        <v/>
      </c>
      <c r="Q1100" s="85" t="str">
        <f>IF(AND(B1100='111'!$L$11,OR($N1100=$Q$7,$O1100=$Q$7)),"x","")</f>
        <v/>
      </c>
      <c r="R1100" s="85" t="str">
        <f>IF(AND($N1100=$Q$7,$B1100&lt;'111'!$L$11),"x","")</f>
        <v/>
      </c>
      <c r="S1100" s="85" t="str">
        <f>IF(AND($O1100=$Q$7,$B1100&lt;'111'!$L$11),"x","")</f>
        <v/>
      </c>
      <c r="T1100" s="85" t="str">
        <f>IF(ISERROR(FIND('112'!$M$9,G1100,1)),"",IF((AND(FIND('112'!$M$9,G1100,1)&gt;=1,B1100='112'!$K$9,OR($N1100='112'!$I$6,$O1100='112'!$I$6))),"x",""))</f>
        <v/>
      </c>
      <c r="U1100" s="85" t="str">
        <f>IF(ISERROR(FIND('112'!$M$9,G1100,1)),"",IF((AND(LEFT(G1100,2)=LEFT('112'!$M$9,2),B1100&lt;'112'!$K$9,$N1100='112'!$I$6)),"x",""))</f>
        <v/>
      </c>
      <c r="V1100" s="85" t="str">
        <f>IF(ISERROR(FIND('112'!$M$9,G1100,1)),"",IF((AND(RIGHT(G1100,2)=RIGHT('112'!$M$9,2),B1100&lt;'112'!$K$9,$O1100='112'!$I$6)),"x",""))</f>
        <v/>
      </c>
      <c r="W1100" s="85" t="str">
        <f>IF(AND('341-CT'!$H$9=H1100,OR(LEFT(N1100,3)=$W$7,LEFT(O1100,3)=$W$7)),"x","")</f>
        <v/>
      </c>
      <c r="X1100" s="85" t="str">
        <f>IF(OR(TH!N1100=TH!$X$7,O1100=TH!$X$7),"x","")</f>
        <v/>
      </c>
      <c r="Y1100" s="85" t="str">
        <f>IF(AND(OR(N1100="131",O1100="131"),H1100='131-CT'!$H$9),"x","")</f>
        <v/>
      </c>
      <c r="Z1100" s="85"/>
      <c r="AA1100" s="85" t="str">
        <f>IF(AND(MONTH(E1100)='IN-NX'!$J$5,'IN-NX'!$D$7=D1100),"x","")</f>
        <v/>
      </c>
      <c r="AB1100" s="85" t="str">
        <f>IF(AND(OR(LEFT(TH!N1100,2)="15",LEFT(TH!O1100,2)="15"),'152-CT'!$J$8=TH!F1100),"x","")</f>
        <v/>
      </c>
      <c r="AC1100" s="85" t="str">
        <f>IF(AND(OR(LEFT(TH!N1100,2)="15",LEFT(TH!O1100,2)="15"),TK!$E$7=TH!F1100),"x","")</f>
        <v/>
      </c>
      <c r="AD1100" s="85" t="str">
        <f>IF(AND(N1100="1521",MONTH(C1100)='BK-NL'!$M$11),"x","")</f>
        <v/>
      </c>
    </row>
    <row r="1101" spans="1:30" ht="15.75" customHeight="1">
      <c r="A1101" s="342" t="str">
        <f>IF(B1101&lt;&gt;"",IF(AND(B1101='IN-TC'!$S$4,OR(TH!N1101="1111",TH!O1101="1111")),TH!D1101,""),"")</f>
        <v/>
      </c>
      <c r="B1101" s="63">
        <f t="shared" si="144"/>
        <v>6</v>
      </c>
      <c r="C1101" s="64">
        <v>42522</v>
      </c>
      <c r="D1101" s="64"/>
      <c r="E1101" s="64">
        <v>42521</v>
      </c>
      <c r="F1101" s="67" t="s">
        <v>1589</v>
      </c>
      <c r="G1101" s="995" t="s">
        <v>1590</v>
      </c>
      <c r="H1101" s="74" t="s">
        <v>812</v>
      </c>
      <c r="I1101" s="446"/>
      <c r="J1101" s="446"/>
      <c r="K1101" s="437"/>
      <c r="L1101" s="446"/>
      <c r="M1101" s="65">
        <v>4600</v>
      </c>
      <c r="N1101" s="66" t="s">
        <v>9</v>
      </c>
      <c r="O1101" s="66" t="s">
        <v>63</v>
      </c>
      <c r="P1101" s="85" t="str">
        <f>IF(AND('331-CT'!$E$7=TH!H1101,OR(N1101="331",O1101="331")),"x","")</f>
        <v/>
      </c>
      <c r="Q1101" s="85" t="str">
        <f>IF(AND(B1101='111'!$L$11,OR($N1101=$Q$7,$O1101=$Q$7)),"x","")</f>
        <v/>
      </c>
      <c r="R1101" s="85" t="str">
        <f>IF(AND($N1101=$Q$7,$B1101&lt;'111'!$L$11),"x","")</f>
        <v/>
      </c>
      <c r="S1101" s="85" t="str">
        <f>IF(AND($O1101=$Q$7,$B1101&lt;'111'!$L$11),"x","")</f>
        <v/>
      </c>
      <c r="T1101" s="85" t="str">
        <f>IF(ISERROR(FIND('112'!$M$9,G1101,1)),"",IF((AND(FIND('112'!$M$9,G1101,1)&gt;=1,B1101='112'!$K$9,OR($N1101='112'!$I$6,$O1101='112'!$I$6))),"x",""))</f>
        <v/>
      </c>
      <c r="U1101" s="85" t="str">
        <f>IF(ISERROR(FIND('112'!$M$9,G1101,1)),"",IF((AND(LEFT(G1101,2)=LEFT('112'!$M$9,2),B1101&lt;'112'!$K$9,$N1101='112'!$I$6)),"x",""))</f>
        <v/>
      </c>
      <c r="V1101" s="85" t="str">
        <f>IF(ISERROR(FIND('112'!$M$9,G1101,1)),"",IF((AND(RIGHT(G1101,2)=RIGHT('112'!$M$9,2),B1101&lt;'112'!$K$9,$O1101='112'!$I$6)),"x",""))</f>
        <v/>
      </c>
      <c r="W1101" s="85" t="str">
        <f>IF(AND('341-CT'!$H$9=H1101,OR(LEFT(N1101,3)=$W$7,LEFT(O1101,3)=$W$7)),"x","")</f>
        <v/>
      </c>
      <c r="X1101" s="85" t="str">
        <f>IF(OR(TH!N1101=TH!$X$7,O1101=TH!$X$7),"x","")</f>
        <v/>
      </c>
      <c r="Y1101" s="85" t="str">
        <f>IF(AND(OR(N1101="131",O1101="131"),H1101='131-CT'!$H$9),"x","")</f>
        <v/>
      </c>
      <c r="Z1101" s="85"/>
      <c r="AA1101" s="85" t="str">
        <f>IF(AND(MONTH(E1101)='IN-NX'!$J$5,'IN-NX'!$D$7=D1101),"x","")</f>
        <v/>
      </c>
      <c r="AB1101" s="85" t="str">
        <f>IF(AND(OR(LEFT(TH!N1101,2)="15",LEFT(TH!O1101,2)="15"),'152-CT'!$J$8=TH!F1101),"x","")</f>
        <v/>
      </c>
      <c r="AC1101" s="85" t="str">
        <f>IF(AND(OR(LEFT(TH!N1101,2)="15",LEFT(TH!O1101,2)="15"),TK!$E$7=TH!F1101),"x","")</f>
        <v/>
      </c>
      <c r="AD1101" s="85" t="str">
        <f>IF(AND(N1101="1521",MONTH(C1101)='BK-NL'!$M$11),"x","")</f>
        <v/>
      </c>
    </row>
    <row r="1102" spans="1:30" ht="15.75" customHeight="1">
      <c r="A1102" s="342" t="str">
        <f>IF(B1102&lt;&gt;"",IF(AND(B1102='IN-TC'!$S$4,OR(TH!N1102="1111",TH!O1102="1111")),TH!D1102,""),"")</f>
        <v/>
      </c>
      <c r="B1102" s="63">
        <f t="shared" si="144"/>
        <v>6</v>
      </c>
      <c r="C1102" s="64">
        <v>42523</v>
      </c>
      <c r="D1102" s="64"/>
      <c r="E1102" s="64">
        <v>42523</v>
      </c>
      <c r="F1102" s="67" t="s">
        <v>1118</v>
      </c>
      <c r="G1102" s="67" t="s">
        <v>929</v>
      </c>
      <c r="H1102" s="74" t="s">
        <v>772</v>
      </c>
      <c r="I1102" s="446"/>
      <c r="J1102" s="446"/>
      <c r="K1102" s="437"/>
      <c r="L1102" s="446"/>
      <c r="M1102" s="65">
        <v>35000000</v>
      </c>
      <c r="N1102" s="66" t="s">
        <v>26</v>
      </c>
      <c r="O1102" s="66" t="s">
        <v>63</v>
      </c>
      <c r="P1102" s="85" t="str">
        <f>IF(AND('331-CT'!$E$7=TH!H1102,OR(N1102="331",O1102="331")),"x","")</f>
        <v/>
      </c>
      <c r="Q1102" s="85" t="str">
        <f>IF(AND(B1102='111'!$L$11,OR($N1102=$Q$7,$O1102=$Q$7)),"x","")</f>
        <v/>
      </c>
      <c r="R1102" s="85" t="str">
        <f>IF(AND($N1102=$Q$7,$B1102&lt;'111'!$L$11),"x","")</f>
        <v/>
      </c>
      <c r="S1102" s="85" t="str">
        <f>IF(AND($O1102=$Q$7,$B1102&lt;'111'!$L$11),"x","")</f>
        <v/>
      </c>
      <c r="T1102" s="85" t="str">
        <f>IF(ISERROR(FIND('112'!$M$9,G1102,1)),"",IF((AND(FIND('112'!$M$9,G1102,1)&gt;=1,B1102='112'!$K$9,OR($N1102='112'!$I$6,$O1102='112'!$I$6))),"x",""))</f>
        <v/>
      </c>
      <c r="U1102" s="85" t="str">
        <f>IF(ISERROR(FIND('112'!$M$9,G1102,1)),"",IF((AND(LEFT(G1102,2)=LEFT('112'!$M$9,2),B1102&lt;'112'!$K$9,$N1102='112'!$I$6)),"x",""))</f>
        <v/>
      </c>
      <c r="V1102" s="85" t="str">
        <f>IF(ISERROR(FIND('112'!$M$9,G1102,1)),"",IF((AND(RIGHT(G1102,2)=RIGHT('112'!$M$9,2),B1102&lt;'112'!$K$9,$O1102='112'!$I$6)),"x",""))</f>
        <v/>
      </c>
      <c r="W1102" s="85" t="str">
        <f>IF(AND('341-CT'!$H$9=H1102,OR(LEFT(N1102,3)=$W$7,LEFT(O1102,3)=$W$7)),"x","")</f>
        <v/>
      </c>
      <c r="X1102" s="85" t="str">
        <f>IF(OR(TH!N1102=TH!$X$7,O1102=TH!$X$7),"x","")</f>
        <v/>
      </c>
      <c r="Y1102" s="85" t="str">
        <f>IF(AND(OR(N1102="131",O1102="131"),H1102='131-CT'!$H$9),"x","")</f>
        <v/>
      </c>
      <c r="Z1102" s="85"/>
      <c r="AA1102" s="85" t="str">
        <f>IF(AND(MONTH(E1102)='IN-NX'!$J$5,'IN-NX'!$D$7=D1102),"x","")</f>
        <v/>
      </c>
      <c r="AB1102" s="85" t="str">
        <f>IF(AND(OR(LEFT(TH!N1102,2)="15",LEFT(TH!O1102,2)="15"),'152-CT'!$J$8=TH!F1102),"x","")</f>
        <v/>
      </c>
      <c r="AC1102" s="85" t="str">
        <f>IF(AND(OR(LEFT(TH!N1102,2)="15",LEFT(TH!O1102,2)="15"),TK!$E$7=TH!F1102),"x","")</f>
        <v/>
      </c>
      <c r="AD1102" s="85" t="str">
        <f>IF(AND(N1102="1521",MONTH(C1102)='BK-NL'!$M$11),"x","")</f>
        <v/>
      </c>
    </row>
    <row r="1103" spans="1:30" ht="15.75" customHeight="1">
      <c r="A1103" s="342" t="str">
        <f>IF(B1103&lt;&gt;"",IF(AND(B1103='IN-TC'!$S$4,OR(TH!N1103="1111",TH!O1103="1111")),TH!D1103,""),"")</f>
        <v/>
      </c>
      <c r="B1103" s="63">
        <f t="shared" si="144"/>
        <v>6</v>
      </c>
      <c r="C1103" s="64">
        <v>42524</v>
      </c>
      <c r="D1103" s="64"/>
      <c r="E1103" s="64">
        <v>42524</v>
      </c>
      <c r="F1103" s="67" t="s">
        <v>1125</v>
      </c>
      <c r="G1103" s="995" t="s">
        <v>1591</v>
      </c>
      <c r="H1103" s="74" t="s">
        <v>818</v>
      </c>
      <c r="I1103" s="446"/>
      <c r="J1103" s="446"/>
      <c r="K1103" s="437"/>
      <c r="L1103" s="446"/>
      <c r="M1103" s="65">
        <v>675818</v>
      </c>
      <c r="N1103" s="66" t="s">
        <v>101</v>
      </c>
      <c r="O1103" s="66" t="s">
        <v>63</v>
      </c>
      <c r="P1103" s="85" t="str">
        <f>IF(AND('331-CT'!$E$7=TH!H1103,OR(N1103="331",O1103="331")),"x","")</f>
        <v/>
      </c>
      <c r="Q1103" s="85" t="str">
        <f>IF(AND(B1103='111'!$L$11,OR($N1103=$Q$7,$O1103=$Q$7)),"x","")</f>
        <v/>
      </c>
      <c r="R1103" s="85" t="str">
        <f>IF(AND($N1103=$Q$7,$B1103&lt;'111'!$L$11),"x","")</f>
        <v/>
      </c>
      <c r="S1103" s="85" t="str">
        <f>IF(AND($O1103=$Q$7,$B1103&lt;'111'!$L$11),"x","")</f>
        <v/>
      </c>
      <c r="T1103" s="85" t="str">
        <f>IF(ISERROR(FIND('112'!$M$9,G1103,1)),"",IF((AND(FIND('112'!$M$9,G1103,1)&gt;=1,B1103='112'!$K$9,OR($N1103='112'!$I$6,$O1103='112'!$I$6))),"x",""))</f>
        <v/>
      </c>
      <c r="U1103" s="85" t="str">
        <f>IF(ISERROR(FIND('112'!$M$9,G1103,1)),"",IF((AND(LEFT(G1103,2)=LEFT('112'!$M$9,2),B1103&lt;'112'!$K$9,$N1103='112'!$I$6)),"x",""))</f>
        <v/>
      </c>
      <c r="V1103" s="85" t="str">
        <f>IF(ISERROR(FIND('112'!$M$9,G1103,1)),"",IF((AND(RIGHT(G1103,2)=RIGHT('112'!$M$9,2),B1103&lt;'112'!$K$9,$O1103='112'!$I$6)),"x",""))</f>
        <v/>
      </c>
      <c r="W1103" s="85" t="str">
        <f>IF(AND('341-CT'!$H$9=H1103,OR(LEFT(N1103,3)=$W$7,LEFT(O1103,3)=$W$7)),"x","")</f>
        <v/>
      </c>
      <c r="X1103" s="85" t="str">
        <f>IF(OR(TH!N1103=TH!$X$7,O1103=TH!$X$7),"x","")</f>
        <v/>
      </c>
      <c r="Y1103" s="85" t="str">
        <f>IF(AND(OR(N1103="131",O1103="131"),H1103='131-CT'!$H$9),"x","")</f>
        <v/>
      </c>
      <c r="Z1103" s="85"/>
      <c r="AA1103" s="85" t="str">
        <f>IF(AND(MONTH(E1103)='IN-NX'!$J$5,'IN-NX'!$D$7=D1103),"x","")</f>
        <v/>
      </c>
      <c r="AB1103" s="85" t="str">
        <f>IF(AND(OR(LEFT(TH!N1103,2)="15",LEFT(TH!O1103,2)="15"),'152-CT'!$J$8=TH!F1103),"x","")</f>
        <v/>
      </c>
      <c r="AC1103" s="85" t="str">
        <f>IF(AND(OR(LEFT(TH!N1103,2)="15",LEFT(TH!O1103,2)="15"),TK!$E$7=TH!F1103),"x","")</f>
        <v/>
      </c>
      <c r="AD1103" s="85" t="str">
        <f>IF(AND(N1103="1521",MONTH(C1103)='BK-NL'!$M$11),"x","")</f>
        <v/>
      </c>
    </row>
    <row r="1104" spans="1:30" ht="15.75" customHeight="1">
      <c r="A1104" s="342" t="str">
        <f>IF(B1104&lt;&gt;"",IF(AND(B1104='IN-TC'!$S$4,OR(TH!N1104="1111",TH!O1104="1111")),TH!D1104,""),"")</f>
        <v/>
      </c>
      <c r="B1104" s="63">
        <f t="shared" ref="B1104" si="146">IF(C1104&lt;&gt;"",MONTH(C1104),"")</f>
        <v>6</v>
      </c>
      <c r="C1104" s="64">
        <v>42524</v>
      </c>
      <c r="D1104" s="64"/>
      <c r="E1104" s="64">
        <v>42524</v>
      </c>
      <c r="F1104" s="67" t="s">
        <v>1359</v>
      </c>
      <c r="G1104" s="995" t="s">
        <v>1591</v>
      </c>
      <c r="H1104" s="74" t="s">
        <v>818</v>
      </c>
      <c r="I1104" s="446"/>
      <c r="J1104" s="446"/>
      <c r="K1104" s="437"/>
      <c r="L1104" s="446"/>
      <c r="M1104" s="65">
        <v>67582</v>
      </c>
      <c r="N1104" s="66" t="s">
        <v>101</v>
      </c>
      <c r="O1104" s="66" t="s">
        <v>63</v>
      </c>
      <c r="P1104" s="85" t="str">
        <f>IF(AND('331-CT'!$E$7=TH!H1104,OR(N1104="331",O1104="331")),"x","")</f>
        <v/>
      </c>
      <c r="Q1104" s="85" t="str">
        <f>IF(AND(B1104='111'!$L$11,OR($N1104=$Q$7,$O1104=$Q$7)),"x","")</f>
        <v/>
      </c>
      <c r="R1104" s="85" t="str">
        <f>IF(AND($N1104=$Q$7,$B1104&lt;'111'!$L$11),"x","")</f>
        <v/>
      </c>
      <c r="S1104" s="85" t="str">
        <f>IF(AND($O1104=$Q$7,$B1104&lt;'111'!$L$11),"x","")</f>
        <v/>
      </c>
      <c r="T1104" s="85" t="str">
        <f>IF(ISERROR(FIND('112'!$M$9,G1104,1)),"",IF((AND(FIND('112'!$M$9,G1104,1)&gt;=1,B1104='112'!$K$9,OR($N1104='112'!$I$6,$O1104='112'!$I$6))),"x",""))</f>
        <v/>
      </c>
      <c r="U1104" s="85" t="str">
        <f>IF(ISERROR(FIND('112'!$M$9,G1104,1)),"",IF((AND(LEFT(G1104,2)=LEFT('112'!$M$9,2),B1104&lt;'112'!$K$9,$N1104='112'!$I$6)),"x",""))</f>
        <v/>
      </c>
      <c r="V1104" s="85" t="str">
        <f>IF(ISERROR(FIND('112'!$M$9,G1104,1)),"",IF((AND(RIGHT(G1104,2)=RIGHT('112'!$M$9,2),B1104&lt;'112'!$K$9,$O1104='112'!$I$6)),"x",""))</f>
        <v/>
      </c>
      <c r="W1104" s="85" t="str">
        <f>IF(AND('341-CT'!$H$9=H1104,OR(LEFT(N1104,3)=$W$7,LEFT(O1104,3)=$W$7)),"x","")</f>
        <v/>
      </c>
      <c r="X1104" s="85" t="str">
        <f>IF(OR(TH!N1104=TH!$X$7,O1104=TH!$X$7),"x","")</f>
        <v/>
      </c>
      <c r="Y1104" s="85" t="str">
        <f>IF(AND(OR(N1104="131",O1104="131"),H1104='131-CT'!$H$9),"x","")</f>
        <v/>
      </c>
      <c r="Z1104" s="85"/>
      <c r="AA1104" s="85" t="str">
        <f>IF(AND(MONTH(E1104)='IN-NX'!$J$5,'IN-NX'!$D$7=D1104),"x","")</f>
        <v/>
      </c>
      <c r="AB1104" s="85" t="str">
        <f>IF(AND(OR(LEFT(TH!N1104,2)="15",LEFT(TH!O1104,2)="15"),'152-CT'!$J$8=TH!F1104),"x","")</f>
        <v/>
      </c>
      <c r="AC1104" s="85" t="str">
        <f>IF(AND(OR(LEFT(TH!N1104,2)="15",LEFT(TH!O1104,2)="15"),TK!$E$7=TH!F1104),"x","")</f>
        <v/>
      </c>
      <c r="AD1104" s="85" t="str">
        <f>IF(AND(N1104="1521",MONTH(C1104)='BK-NL'!$M$11),"x","")</f>
        <v/>
      </c>
    </row>
    <row r="1105" spans="1:30" ht="15.75" customHeight="1">
      <c r="A1105" s="342" t="str">
        <f>IF(B1105&lt;&gt;"",IF(AND(B1105='IN-TC'!$S$4,OR(TH!N1105="1111",TH!O1105="1111")),TH!D1105,""),"")</f>
        <v/>
      </c>
      <c r="B1105" s="63">
        <f t="shared" si="144"/>
        <v>6</v>
      </c>
      <c r="C1105" s="64">
        <v>42525</v>
      </c>
      <c r="D1105" s="64"/>
      <c r="E1105" s="64">
        <v>42525</v>
      </c>
      <c r="F1105" s="67" t="s">
        <v>1592</v>
      </c>
      <c r="G1105" s="995" t="s">
        <v>1593</v>
      </c>
      <c r="H1105" s="74" t="s">
        <v>1042</v>
      </c>
      <c r="I1105" s="446"/>
      <c r="J1105" s="446"/>
      <c r="K1105" s="437"/>
      <c r="L1105" s="446"/>
      <c r="M1105" s="65">
        <v>155000</v>
      </c>
      <c r="N1105" s="66" t="s">
        <v>101</v>
      </c>
      <c r="O1105" s="66" t="s">
        <v>63</v>
      </c>
      <c r="P1105" s="85" t="str">
        <f>IF(AND('331-CT'!$E$7=TH!H1105,OR(N1105="331",O1105="331")),"x","")</f>
        <v/>
      </c>
      <c r="Q1105" s="85" t="str">
        <f>IF(AND(B1105='111'!$L$11,OR($N1105=$Q$7,$O1105=$Q$7)),"x","")</f>
        <v/>
      </c>
      <c r="R1105" s="85" t="str">
        <f>IF(AND($N1105=$Q$7,$B1105&lt;'111'!$L$11),"x","")</f>
        <v/>
      </c>
      <c r="S1105" s="85" t="str">
        <f>IF(AND($O1105=$Q$7,$B1105&lt;'111'!$L$11),"x","")</f>
        <v/>
      </c>
      <c r="T1105" s="85" t="str">
        <f>IF(ISERROR(FIND('112'!$M$9,G1105,1)),"",IF((AND(FIND('112'!$M$9,G1105,1)&gt;=1,B1105='112'!$K$9,OR($N1105='112'!$I$6,$O1105='112'!$I$6))),"x",""))</f>
        <v/>
      </c>
      <c r="U1105" s="85" t="str">
        <f>IF(ISERROR(FIND('112'!$M$9,G1105,1)),"",IF((AND(LEFT(G1105,2)=LEFT('112'!$M$9,2),B1105&lt;'112'!$K$9,$N1105='112'!$I$6)),"x",""))</f>
        <v/>
      </c>
      <c r="V1105" s="85" t="str">
        <f>IF(ISERROR(FIND('112'!$M$9,G1105,1)),"",IF((AND(RIGHT(G1105,2)=RIGHT('112'!$M$9,2),B1105&lt;'112'!$K$9,$O1105='112'!$I$6)),"x",""))</f>
        <v/>
      </c>
      <c r="W1105" s="85" t="str">
        <f>IF(AND('341-CT'!$H$9=H1105,OR(LEFT(N1105,3)=$W$7,LEFT(O1105,3)=$W$7)),"x","")</f>
        <v/>
      </c>
      <c r="X1105" s="85" t="str">
        <f>IF(OR(TH!N1105=TH!$X$7,O1105=TH!$X$7),"x","")</f>
        <v/>
      </c>
      <c r="Y1105" s="85" t="str">
        <f>IF(AND(OR(N1105="131",O1105="131"),H1105='131-CT'!$H$9),"x","")</f>
        <v/>
      </c>
      <c r="Z1105" s="85"/>
      <c r="AA1105" s="85" t="str">
        <f>IF(AND(MONTH(E1105)='IN-NX'!$J$5,'IN-NX'!$D$7=D1105),"x","")</f>
        <v/>
      </c>
      <c r="AB1105" s="85" t="str">
        <f>IF(AND(OR(LEFT(TH!N1105,2)="15",LEFT(TH!O1105,2)="15"),'152-CT'!$J$8=TH!F1105),"x","")</f>
        <v/>
      </c>
      <c r="AC1105" s="85" t="str">
        <f>IF(AND(OR(LEFT(TH!N1105,2)="15",LEFT(TH!O1105,2)="15"),TK!$E$7=TH!F1105),"x","")</f>
        <v/>
      </c>
      <c r="AD1105" s="85" t="str">
        <f>IF(AND(N1105="1521",MONTH(C1105)='BK-NL'!$M$11),"x","")</f>
        <v/>
      </c>
    </row>
    <row r="1106" spans="1:30" ht="15.75" customHeight="1">
      <c r="A1106" s="342" t="str">
        <f>IF(B1106&lt;&gt;"",IF(AND(B1106='IN-TC'!$S$4,OR(TH!N1106="1111",TH!O1106="1111")),TH!D1106,""),"")</f>
        <v/>
      </c>
      <c r="B1106" s="63">
        <f t="shared" si="144"/>
        <v>6</v>
      </c>
      <c r="C1106" s="64">
        <v>42525</v>
      </c>
      <c r="D1106" s="64"/>
      <c r="E1106" s="64">
        <v>42525</v>
      </c>
      <c r="F1106" s="67" t="s">
        <v>780</v>
      </c>
      <c r="G1106" s="995" t="s">
        <v>1594</v>
      </c>
      <c r="H1106" s="74" t="s">
        <v>818</v>
      </c>
      <c r="I1106" s="446"/>
      <c r="J1106" s="446"/>
      <c r="K1106" s="437"/>
      <c r="L1106" s="446"/>
      <c r="M1106" s="65">
        <v>565000</v>
      </c>
      <c r="N1106" s="66" t="s">
        <v>101</v>
      </c>
      <c r="O1106" s="66" t="s">
        <v>63</v>
      </c>
      <c r="P1106" s="85" t="str">
        <f>IF(AND('331-CT'!$E$7=TH!H1106,OR(N1106="331",O1106="331")),"x","")</f>
        <v/>
      </c>
      <c r="Q1106" s="85" t="str">
        <f>IF(AND(B1106='111'!$L$11,OR($N1106=$Q$7,$O1106=$Q$7)),"x","")</f>
        <v/>
      </c>
      <c r="R1106" s="85" t="str">
        <f>IF(AND($N1106=$Q$7,$B1106&lt;'111'!$L$11),"x","")</f>
        <v/>
      </c>
      <c r="S1106" s="85" t="str">
        <f>IF(AND($O1106=$Q$7,$B1106&lt;'111'!$L$11),"x","")</f>
        <v/>
      </c>
      <c r="T1106" s="85" t="str">
        <f>IF(ISERROR(FIND('112'!$M$9,G1106,1)),"",IF((AND(FIND('112'!$M$9,G1106,1)&gt;=1,B1106='112'!$K$9,OR($N1106='112'!$I$6,$O1106='112'!$I$6))),"x",""))</f>
        <v/>
      </c>
      <c r="U1106" s="85" t="str">
        <f>IF(ISERROR(FIND('112'!$M$9,G1106,1)),"",IF((AND(LEFT(G1106,2)=LEFT('112'!$M$9,2),B1106&lt;'112'!$K$9,$N1106='112'!$I$6)),"x",""))</f>
        <v/>
      </c>
      <c r="V1106" s="85" t="str">
        <f>IF(ISERROR(FIND('112'!$M$9,G1106,1)),"",IF((AND(RIGHT(G1106,2)=RIGHT('112'!$M$9,2),B1106&lt;'112'!$K$9,$O1106='112'!$I$6)),"x",""))</f>
        <v/>
      </c>
      <c r="W1106" s="85" t="str">
        <f>IF(AND('341-CT'!$H$9=H1106,OR(LEFT(N1106,3)=$W$7,LEFT(O1106,3)=$W$7)),"x","")</f>
        <v/>
      </c>
      <c r="X1106" s="85" t="str">
        <f>IF(OR(TH!N1106=TH!$X$7,O1106=TH!$X$7),"x","")</f>
        <v/>
      </c>
      <c r="Y1106" s="85" t="str">
        <f>IF(AND(OR(N1106="131",O1106="131"),H1106='131-CT'!$H$9),"x","")</f>
        <v/>
      </c>
      <c r="Z1106" s="85"/>
      <c r="AA1106" s="85" t="str">
        <f>IF(AND(MONTH(E1106)='IN-NX'!$J$5,'IN-NX'!$D$7=D1106),"x","")</f>
        <v/>
      </c>
      <c r="AB1106" s="85" t="str">
        <f>IF(AND(OR(LEFT(TH!N1106,2)="15",LEFT(TH!O1106,2)="15"),'152-CT'!$J$8=TH!F1106),"x","")</f>
        <v/>
      </c>
      <c r="AC1106" s="85" t="str">
        <f>IF(AND(OR(LEFT(TH!N1106,2)="15",LEFT(TH!O1106,2)="15"),TK!$E$7=TH!F1106),"x","")</f>
        <v/>
      </c>
      <c r="AD1106" s="85" t="str">
        <f>IF(AND(N1106="1521",MONTH(C1106)='BK-NL'!$M$11),"x","")</f>
        <v/>
      </c>
    </row>
    <row r="1107" spans="1:30" ht="15.75" customHeight="1">
      <c r="A1107" s="342" t="str">
        <f>IF(B1107&lt;&gt;"",IF(AND(B1107='IN-TC'!$S$4,OR(TH!N1107="1111",TH!O1107="1111")),TH!D1107,""),"")</f>
        <v/>
      </c>
      <c r="B1107" s="63">
        <f t="shared" ref="B1107" si="147">IF(C1107&lt;&gt;"",MONTH(C1107),"")</f>
        <v>6</v>
      </c>
      <c r="C1107" s="64">
        <v>42525</v>
      </c>
      <c r="D1107" s="64"/>
      <c r="E1107" s="64">
        <v>42525</v>
      </c>
      <c r="F1107" s="67" t="s">
        <v>781</v>
      </c>
      <c r="G1107" s="995" t="s">
        <v>1594</v>
      </c>
      <c r="H1107" s="74" t="s">
        <v>818</v>
      </c>
      <c r="I1107" s="446"/>
      <c r="J1107" s="446"/>
      <c r="K1107" s="437"/>
      <c r="L1107" s="446"/>
      <c r="M1107" s="65">
        <v>56500</v>
      </c>
      <c r="N1107" s="66" t="s">
        <v>9</v>
      </c>
      <c r="O1107" s="66" t="s">
        <v>63</v>
      </c>
      <c r="P1107" s="85" t="str">
        <f>IF(AND('331-CT'!$E$7=TH!H1107,OR(N1107="331",O1107="331")),"x","")</f>
        <v/>
      </c>
      <c r="Q1107" s="85" t="str">
        <f>IF(AND(B1107='111'!$L$11,OR($N1107=$Q$7,$O1107=$Q$7)),"x","")</f>
        <v/>
      </c>
      <c r="R1107" s="85" t="str">
        <f>IF(AND($N1107=$Q$7,$B1107&lt;'111'!$L$11),"x","")</f>
        <v/>
      </c>
      <c r="S1107" s="85" t="str">
        <f>IF(AND($O1107=$Q$7,$B1107&lt;'111'!$L$11),"x","")</f>
        <v/>
      </c>
      <c r="T1107" s="85" t="str">
        <f>IF(ISERROR(FIND('112'!$M$9,G1107,1)),"",IF((AND(FIND('112'!$M$9,G1107,1)&gt;=1,B1107='112'!$K$9,OR($N1107='112'!$I$6,$O1107='112'!$I$6))),"x",""))</f>
        <v/>
      </c>
      <c r="U1107" s="85" t="str">
        <f>IF(ISERROR(FIND('112'!$M$9,G1107,1)),"",IF((AND(LEFT(G1107,2)=LEFT('112'!$M$9,2),B1107&lt;'112'!$K$9,$N1107='112'!$I$6)),"x",""))</f>
        <v/>
      </c>
      <c r="V1107" s="85" t="str">
        <f>IF(ISERROR(FIND('112'!$M$9,G1107,1)),"",IF((AND(RIGHT(G1107,2)=RIGHT('112'!$M$9,2),B1107&lt;'112'!$K$9,$O1107='112'!$I$6)),"x",""))</f>
        <v/>
      </c>
      <c r="W1107" s="85" t="str">
        <f>IF(AND('341-CT'!$H$9=H1107,OR(LEFT(N1107,3)=$W$7,LEFT(O1107,3)=$W$7)),"x","")</f>
        <v/>
      </c>
      <c r="X1107" s="85" t="str">
        <f>IF(OR(TH!N1107=TH!$X$7,O1107=TH!$X$7),"x","")</f>
        <v/>
      </c>
      <c r="Y1107" s="85" t="str">
        <f>IF(AND(OR(N1107="131",O1107="131"),H1107='131-CT'!$H$9),"x","")</f>
        <v/>
      </c>
      <c r="Z1107" s="85"/>
      <c r="AA1107" s="85" t="str">
        <f>IF(AND(MONTH(E1107)='IN-NX'!$J$5,'IN-NX'!$D$7=D1107),"x","")</f>
        <v/>
      </c>
      <c r="AB1107" s="85" t="str">
        <f>IF(AND(OR(LEFT(TH!N1107,2)="15",LEFT(TH!O1107,2)="15"),'152-CT'!$J$8=TH!F1107),"x","")</f>
        <v/>
      </c>
      <c r="AC1107" s="85" t="str">
        <f>IF(AND(OR(LEFT(TH!N1107,2)="15",LEFT(TH!O1107,2)="15"),TK!$E$7=TH!F1107),"x","")</f>
        <v/>
      </c>
      <c r="AD1107" s="85" t="str">
        <f>IF(AND(N1107="1521",MONTH(C1107)='BK-NL'!$M$11),"x","")</f>
        <v/>
      </c>
    </row>
    <row r="1108" spans="1:30" ht="15.75" customHeight="1">
      <c r="A1108" s="342" t="str">
        <f>IF(B1108&lt;&gt;"",IF(AND(B1108='IN-TC'!$S$4,OR(TH!N1108="1111",TH!O1108="1111")),TH!D1108,""),"")</f>
        <v/>
      </c>
      <c r="B1108" s="63">
        <f t="shared" si="144"/>
        <v>6</v>
      </c>
      <c r="C1108" s="64">
        <v>42527</v>
      </c>
      <c r="D1108" s="64"/>
      <c r="E1108" s="64">
        <v>42527</v>
      </c>
      <c r="F1108" s="67" t="s">
        <v>1596</v>
      </c>
      <c r="G1108" s="995" t="s">
        <v>1595</v>
      </c>
      <c r="H1108" s="74" t="s">
        <v>856</v>
      </c>
      <c r="I1108" s="446"/>
      <c r="J1108" s="446"/>
      <c r="K1108" s="437"/>
      <c r="L1108" s="446"/>
      <c r="M1108" s="65">
        <v>1965005</v>
      </c>
      <c r="N1108" s="66" t="s">
        <v>101</v>
      </c>
      <c r="O1108" s="66" t="s">
        <v>63</v>
      </c>
      <c r="P1108" s="85" t="str">
        <f>IF(AND('331-CT'!$E$7=TH!H1108,OR(N1108="331",O1108="331")),"x","")</f>
        <v/>
      </c>
      <c r="Q1108" s="85" t="str">
        <f>IF(AND(B1108='111'!$L$11,OR($N1108=$Q$7,$O1108=$Q$7)),"x","")</f>
        <v/>
      </c>
      <c r="R1108" s="85" t="str">
        <f>IF(AND($N1108=$Q$7,$B1108&lt;'111'!$L$11),"x","")</f>
        <v/>
      </c>
      <c r="S1108" s="85" t="str">
        <f>IF(AND($O1108=$Q$7,$B1108&lt;'111'!$L$11),"x","")</f>
        <v/>
      </c>
      <c r="T1108" s="85" t="str">
        <f>IF(ISERROR(FIND('112'!$M$9,G1108,1)),"",IF((AND(FIND('112'!$M$9,G1108,1)&gt;=1,B1108='112'!$K$9,OR($N1108='112'!$I$6,$O1108='112'!$I$6))),"x",""))</f>
        <v/>
      </c>
      <c r="U1108" s="85" t="str">
        <f>IF(ISERROR(FIND('112'!$M$9,G1108,1)),"",IF((AND(LEFT(G1108,2)=LEFT('112'!$M$9,2),B1108&lt;'112'!$K$9,$N1108='112'!$I$6)),"x",""))</f>
        <v/>
      </c>
      <c r="V1108" s="85" t="str">
        <f>IF(ISERROR(FIND('112'!$M$9,G1108,1)),"",IF((AND(RIGHT(G1108,2)=RIGHT('112'!$M$9,2),B1108&lt;'112'!$K$9,$O1108='112'!$I$6)),"x",""))</f>
        <v/>
      </c>
      <c r="W1108" s="85" t="str">
        <f>IF(AND('341-CT'!$H$9=H1108,OR(LEFT(N1108,3)=$W$7,LEFT(O1108,3)=$W$7)),"x","")</f>
        <v/>
      </c>
      <c r="X1108" s="85" t="str">
        <f>IF(OR(TH!N1108=TH!$X$7,O1108=TH!$X$7),"x","")</f>
        <v/>
      </c>
      <c r="Y1108" s="85" t="str">
        <f>IF(AND(OR(N1108="131",O1108="131"),H1108='131-CT'!$H$9),"x","")</f>
        <v/>
      </c>
      <c r="Z1108" s="85"/>
      <c r="AA1108" s="85" t="str">
        <f>IF(AND(MONTH(E1108)='IN-NX'!$J$5,'IN-NX'!$D$7=D1108),"x","")</f>
        <v/>
      </c>
      <c r="AB1108" s="85" t="str">
        <f>IF(AND(OR(LEFT(TH!N1108,2)="15",LEFT(TH!O1108,2)="15"),'152-CT'!$J$8=TH!F1108),"x","")</f>
        <v/>
      </c>
      <c r="AC1108" s="85" t="str">
        <f>IF(AND(OR(LEFT(TH!N1108,2)="15",LEFT(TH!O1108,2)="15"),TK!$E$7=TH!F1108),"x","")</f>
        <v/>
      </c>
      <c r="AD1108" s="85" t="str">
        <f>IF(AND(N1108="1521",MONTH(C1108)='BK-NL'!$M$11),"x","")</f>
        <v/>
      </c>
    </row>
    <row r="1109" spans="1:30" ht="15.75" customHeight="1">
      <c r="A1109" s="342" t="str">
        <f>IF(B1109&lt;&gt;"",IF(AND(B1109='IN-TC'!$S$4,OR(TH!N1109="1111",TH!O1109="1111")),TH!D1109,""),"")</f>
        <v/>
      </c>
      <c r="B1109" s="63">
        <f t="shared" ref="B1109" si="148">IF(C1109&lt;&gt;"",MONTH(C1109),"")</f>
        <v>6</v>
      </c>
      <c r="C1109" s="64">
        <v>42527</v>
      </c>
      <c r="D1109" s="64"/>
      <c r="E1109" s="64">
        <v>42527</v>
      </c>
      <c r="F1109" s="67" t="s">
        <v>1597</v>
      </c>
      <c r="G1109" s="995" t="s">
        <v>1595</v>
      </c>
      <c r="H1109" s="74" t="s">
        <v>856</v>
      </c>
      <c r="I1109" s="446"/>
      <c r="J1109" s="446"/>
      <c r="K1109" s="437"/>
      <c r="L1109" s="446"/>
      <c r="M1109" s="65">
        <v>196501</v>
      </c>
      <c r="N1109" s="66" t="s">
        <v>9</v>
      </c>
      <c r="O1109" s="66" t="s">
        <v>63</v>
      </c>
      <c r="P1109" s="85" t="str">
        <f>IF(AND('331-CT'!$E$7=TH!H1109,OR(N1109="331",O1109="331")),"x","")</f>
        <v/>
      </c>
      <c r="Q1109" s="85" t="str">
        <f>IF(AND(B1109='111'!$L$11,OR($N1109=$Q$7,$O1109=$Q$7)),"x","")</f>
        <v/>
      </c>
      <c r="R1109" s="85" t="str">
        <f>IF(AND($N1109=$Q$7,$B1109&lt;'111'!$L$11),"x","")</f>
        <v/>
      </c>
      <c r="S1109" s="85" t="str">
        <f>IF(AND($O1109=$Q$7,$B1109&lt;'111'!$L$11),"x","")</f>
        <v/>
      </c>
      <c r="T1109" s="85" t="str">
        <f>IF(ISERROR(FIND('112'!$M$9,G1109,1)),"",IF((AND(FIND('112'!$M$9,G1109,1)&gt;=1,B1109='112'!$K$9,OR($N1109='112'!$I$6,$O1109='112'!$I$6))),"x",""))</f>
        <v/>
      </c>
      <c r="U1109" s="85" t="str">
        <f>IF(ISERROR(FIND('112'!$M$9,G1109,1)),"",IF((AND(LEFT(G1109,2)=LEFT('112'!$M$9,2),B1109&lt;'112'!$K$9,$N1109='112'!$I$6)),"x",""))</f>
        <v/>
      </c>
      <c r="V1109" s="85" t="str">
        <f>IF(ISERROR(FIND('112'!$M$9,G1109,1)),"",IF((AND(RIGHT(G1109,2)=RIGHT('112'!$M$9,2),B1109&lt;'112'!$K$9,$O1109='112'!$I$6)),"x",""))</f>
        <v/>
      </c>
      <c r="W1109" s="85" t="str">
        <f>IF(AND('341-CT'!$H$9=H1109,OR(LEFT(N1109,3)=$W$7,LEFT(O1109,3)=$W$7)),"x","")</f>
        <v/>
      </c>
      <c r="X1109" s="85" t="str">
        <f>IF(OR(TH!N1109=TH!$X$7,O1109=TH!$X$7),"x","")</f>
        <v/>
      </c>
      <c r="Y1109" s="85" t="str">
        <f>IF(AND(OR(N1109="131",O1109="131"),H1109='131-CT'!$H$9),"x","")</f>
        <v/>
      </c>
      <c r="Z1109" s="85"/>
      <c r="AA1109" s="85" t="str">
        <f>IF(AND(MONTH(E1109)='IN-NX'!$J$5,'IN-NX'!$D$7=D1109),"x","")</f>
        <v/>
      </c>
      <c r="AB1109" s="85" t="str">
        <f>IF(AND(OR(LEFT(TH!N1109,2)="15",LEFT(TH!O1109,2)="15"),'152-CT'!$J$8=TH!F1109),"x","")</f>
        <v/>
      </c>
      <c r="AC1109" s="85" t="str">
        <f>IF(AND(OR(LEFT(TH!N1109,2)="15",LEFT(TH!O1109,2)="15"),TK!$E$7=TH!F1109),"x","")</f>
        <v/>
      </c>
      <c r="AD1109" s="85" t="str">
        <f>IF(AND(N1109="1521",MONTH(C1109)='BK-NL'!$M$11),"x","")</f>
        <v/>
      </c>
    </row>
    <row r="1110" spans="1:30" ht="15.75" customHeight="1">
      <c r="A1110" s="342" t="str">
        <f>IF(B1110&lt;&gt;"",IF(AND(B1110='IN-TC'!$S$4,OR(TH!N1110="1111",TH!O1110="1111")),TH!D1110,""),"")</f>
        <v/>
      </c>
      <c r="B1110" s="63">
        <f t="shared" si="144"/>
        <v>6</v>
      </c>
      <c r="C1110" s="64">
        <v>42527</v>
      </c>
      <c r="D1110" s="64"/>
      <c r="E1110" s="64">
        <v>42527</v>
      </c>
      <c r="F1110" s="67" t="s">
        <v>641</v>
      </c>
      <c r="G1110" s="995" t="s">
        <v>1598</v>
      </c>
      <c r="H1110" s="74" t="s">
        <v>841</v>
      </c>
      <c r="I1110" s="446"/>
      <c r="J1110" s="446"/>
      <c r="K1110" s="437"/>
      <c r="L1110" s="446"/>
      <c r="M1110" s="65">
        <v>1440000</v>
      </c>
      <c r="N1110" s="66" t="s">
        <v>101</v>
      </c>
      <c r="O1110" s="66" t="s">
        <v>63</v>
      </c>
      <c r="P1110" s="85" t="str">
        <f>IF(AND('331-CT'!$E$7=TH!H1110,OR(N1110="331",O1110="331")),"x","")</f>
        <v/>
      </c>
      <c r="Q1110" s="85" t="str">
        <f>IF(AND(B1110='111'!$L$11,OR($N1110=$Q$7,$O1110=$Q$7)),"x","")</f>
        <v/>
      </c>
      <c r="R1110" s="85" t="str">
        <f>IF(AND($N1110=$Q$7,$B1110&lt;'111'!$L$11),"x","")</f>
        <v/>
      </c>
      <c r="S1110" s="85" t="str">
        <f>IF(AND($O1110=$Q$7,$B1110&lt;'111'!$L$11),"x","")</f>
        <v/>
      </c>
      <c r="T1110" s="85" t="str">
        <f>IF(ISERROR(FIND('112'!$M$9,G1110,1)),"",IF((AND(FIND('112'!$M$9,G1110,1)&gt;=1,B1110='112'!$K$9,OR($N1110='112'!$I$6,$O1110='112'!$I$6))),"x",""))</f>
        <v/>
      </c>
      <c r="U1110" s="85" t="str">
        <f>IF(ISERROR(FIND('112'!$M$9,G1110,1)),"",IF((AND(LEFT(G1110,2)=LEFT('112'!$M$9,2),B1110&lt;'112'!$K$9,$N1110='112'!$I$6)),"x",""))</f>
        <v/>
      </c>
      <c r="V1110" s="85" t="str">
        <f>IF(ISERROR(FIND('112'!$M$9,G1110,1)),"",IF((AND(RIGHT(G1110,2)=RIGHT('112'!$M$9,2),B1110&lt;'112'!$K$9,$O1110='112'!$I$6)),"x",""))</f>
        <v/>
      </c>
      <c r="W1110" s="85" t="str">
        <f>IF(AND('341-CT'!$H$9=H1110,OR(LEFT(N1110,3)=$W$7,LEFT(O1110,3)=$W$7)),"x","")</f>
        <v/>
      </c>
      <c r="X1110" s="85" t="str">
        <f>IF(OR(TH!N1110=TH!$X$7,O1110=TH!$X$7),"x","")</f>
        <v/>
      </c>
      <c r="Y1110" s="85" t="str">
        <f>IF(AND(OR(N1110="131",O1110="131"),H1110='131-CT'!$H$9),"x","")</f>
        <v/>
      </c>
      <c r="Z1110" s="85"/>
      <c r="AA1110" s="85" t="str">
        <f>IF(AND(MONTH(E1110)='IN-NX'!$J$5,'IN-NX'!$D$7=D1110),"x","")</f>
        <v/>
      </c>
      <c r="AB1110" s="85" t="str">
        <f>IF(AND(OR(LEFT(TH!N1110,2)="15",LEFT(TH!O1110,2)="15"),'152-CT'!$J$8=TH!F1110),"x","")</f>
        <v/>
      </c>
      <c r="AC1110" s="85" t="str">
        <f>IF(AND(OR(LEFT(TH!N1110,2)="15",LEFT(TH!O1110,2)="15"),TK!$E$7=TH!F1110),"x","")</f>
        <v/>
      </c>
      <c r="AD1110" s="85" t="str">
        <f>IF(AND(N1110="1521",MONTH(C1110)='BK-NL'!$M$11),"x","")</f>
        <v/>
      </c>
    </row>
    <row r="1111" spans="1:30" ht="15.75" customHeight="1">
      <c r="A1111" s="342" t="str">
        <f>IF(B1111&lt;&gt;"",IF(AND(B1111='IN-TC'!$S$4,OR(TH!N1111="1111",TH!O1111="1111")),TH!D1111,""),"")</f>
        <v/>
      </c>
      <c r="B1111" s="63">
        <f t="shared" ref="B1111" si="149">IF(C1111&lt;&gt;"",MONTH(C1111),"")</f>
        <v>6</v>
      </c>
      <c r="C1111" s="64">
        <v>42527</v>
      </c>
      <c r="D1111" s="64"/>
      <c r="E1111" s="64">
        <v>42527</v>
      </c>
      <c r="F1111" s="67" t="s">
        <v>1555</v>
      </c>
      <c r="G1111" s="995" t="s">
        <v>1598</v>
      </c>
      <c r="H1111" s="74" t="s">
        <v>841</v>
      </c>
      <c r="I1111" s="446"/>
      <c r="J1111" s="446"/>
      <c r="K1111" s="437"/>
      <c r="L1111" s="446"/>
      <c r="M1111" s="65">
        <v>72000</v>
      </c>
      <c r="N1111" s="66" t="s">
        <v>9</v>
      </c>
      <c r="O1111" s="66" t="s">
        <v>63</v>
      </c>
      <c r="P1111" s="85" t="str">
        <f>IF(AND('331-CT'!$E$7=TH!H1111,OR(N1111="331",O1111="331")),"x","")</f>
        <v/>
      </c>
      <c r="Q1111" s="85" t="str">
        <f>IF(AND(B1111='111'!$L$11,OR($N1111=$Q$7,$O1111=$Q$7)),"x","")</f>
        <v/>
      </c>
      <c r="R1111" s="85" t="str">
        <f>IF(AND($N1111=$Q$7,$B1111&lt;'111'!$L$11),"x","")</f>
        <v/>
      </c>
      <c r="S1111" s="85" t="str">
        <f>IF(AND($O1111=$Q$7,$B1111&lt;'111'!$L$11),"x","")</f>
        <v/>
      </c>
      <c r="T1111" s="85" t="str">
        <f>IF(ISERROR(FIND('112'!$M$9,G1111,1)),"",IF((AND(FIND('112'!$M$9,G1111,1)&gt;=1,B1111='112'!$K$9,OR($N1111='112'!$I$6,$O1111='112'!$I$6))),"x",""))</f>
        <v/>
      </c>
      <c r="U1111" s="85" t="str">
        <f>IF(ISERROR(FIND('112'!$M$9,G1111,1)),"",IF((AND(LEFT(G1111,2)=LEFT('112'!$M$9,2),B1111&lt;'112'!$K$9,$N1111='112'!$I$6)),"x",""))</f>
        <v/>
      </c>
      <c r="V1111" s="85" t="str">
        <f>IF(ISERROR(FIND('112'!$M$9,G1111,1)),"",IF((AND(RIGHT(G1111,2)=RIGHT('112'!$M$9,2),B1111&lt;'112'!$K$9,$O1111='112'!$I$6)),"x",""))</f>
        <v/>
      </c>
      <c r="W1111" s="85" t="str">
        <f>IF(AND('341-CT'!$H$9=H1111,OR(LEFT(N1111,3)=$W$7,LEFT(O1111,3)=$W$7)),"x","")</f>
        <v/>
      </c>
      <c r="X1111" s="85" t="str">
        <f>IF(OR(TH!N1111=TH!$X$7,O1111=TH!$X$7),"x","")</f>
        <v/>
      </c>
      <c r="Y1111" s="85" t="str">
        <f>IF(AND(OR(N1111="131",O1111="131"),H1111='131-CT'!$H$9),"x","")</f>
        <v/>
      </c>
      <c r="Z1111" s="85"/>
      <c r="AA1111" s="85" t="str">
        <f>IF(AND(MONTH(E1111)='IN-NX'!$J$5,'IN-NX'!$D$7=D1111),"x","")</f>
        <v/>
      </c>
      <c r="AB1111" s="85" t="str">
        <f>IF(AND(OR(LEFT(TH!N1111,2)="15",LEFT(TH!O1111,2)="15"),'152-CT'!$J$8=TH!F1111),"x","")</f>
        <v/>
      </c>
      <c r="AC1111" s="85" t="str">
        <f>IF(AND(OR(LEFT(TH!N1111,2)="15",LEFT(TH!O1111,2)="15"),TK!$E$7=TH!F1111),"x","")</f>
        <v/>
      </c>
      <c r="AD1111" s="85" t="str">
        <f>IF(AND(N1111="1521",MONTH(C1111)='BK-NL'!$M$11),"x","")</f>
        <v/>
      </c>
    </row>
    <row r="1112" spans="1:30" ht="15.75" customHeight="1">
      <c r="A1112" s="342" t="str">
        <f>IF(B1112&lt;&gt;"",IF(AND(B1112='IN-TC'!$S$4,OR(TH!N1112="1111",TH!O1112="1111")),TH!D1112,""),"")</f>
        <v/>
      </c>
      <c r="B1112" s="63">
        <f t="shared" si="125"/>
        <v>6</v>
      </c>
      <c r="C1112" s="64">
        <v>42529</v>
      </c>
      <c r="D1112" s="64"/>
      <c r="E1112" s="64">
        <v>42529</v>
      </c>
      <c r="F1112" s="67" t="s">
        <v>1118</v>
      </c>
      <c r="G1112" s="67" t="s">
        <v>929</v>
      </c>
      <c r="H1112" s="74" t="s">
        <v>772</v>
      </c>
      <c r="I1112" s="446"/>
      <c r="J1112" s="446"/>
      <c r="K1112" s="437"/>
      <c r="L1112" s="446"/>
      <c r="M1112" s="65">
        <v>300000000</v>
      </c>
      <c r="N1112" s="323" t="s">
        <v>26</v>
      </c>
      <c r="O1112" s="66">
        <v>1111</v>
      </c>
      <c r="P1112" s="85" t="str">
        <f>IF(AND('331-CT'!$E$7=TH!H1112,OR(N1112="331",O1112="331")),"x","")</f>
        <v/>
      </c>
      <c r="Q1112" s="85" t="str">
        <f>IF(AND(B1112='111'!$L$11,OR($N1112=$Q$7,$O1112=$Q$7)),"x","")</f>
        <v/>
      </c>
      <c r="R1112" s="85" t="str">
        <f>IF(AND($N1112=$Q$7,$B1112&lt;'111'!$L$11),"x","")</f>
        <v/>
      </c>
      <c r="S1112" s="85" t="str">
        <f>IF(AND($O1112=$Q$7,$B1112&lt;'111'!$L$11),"x","")</f>
        <v/>
      </c>
      <c r="T1112" s="85" t="str">
        <f>IF(ISERROR(FIND('112'!$M$9,G1112,1)),"",IF((AND(FIND('112'!$M$9,G1112,1)&gt;=1,B1112='112'!$K$9,OR($N1112='112'!$I$6,$O1112='112'!$I$6))),"x",""))</f>
        <v/>
      </c>
      <c r="U1112" s="85" t="str">
        <f>IF(ISERROR(FIND('112'!$M$9,G1112,1)),"",IF((AND(LEFT(G1112,2)=LEFT('112'!$M$9,2),B1112&lt;'112'!$K$9,$N1112='112'!$I$6)),"x",""))</f>
        <v/>
      </c>
      <c r="V1112" s="85" t="str">
        <f>IF(ISERROR(FIND('112'!$M$9,G1112,1)),"",IF((AND(RIGHT(G1112,2)=RIGHT('112'!$M$9,2),B1112&lt;'112'!$K$9,$O1112='112'!$I$6)),"x",""))</f>
        <v/>
      </c>
      <c r="W1112" s="85" t="str">
        <f>IF(AND('341-CT'!$H$9=H1112,OR(LEFT(N1112,3)=$W$7,LEFT(O1112,3)=$W$7)),"x","")</f>
        <v/>
      </c>
      <c r="X1112" s="85" t="str">
        <f>IF(OR(TH!N1112=TH!$X$7,O1112=TH!$X$7),"x","")</f>
        <v/>
      </c>
      <c r="Y1112" s="85" t="str">
        <f>IF(AND(OR(N1112="131",O1112="131"),H1112='131-CT'!$H$9),"x","")</f>
        <v/>
      </c>
      <c r="Z1112" s="85"/>
      <c r="AA1112" s="85" t="str">
        <f>IF(AND(MONTH(E1112)='IN-NX'!$J$5,'IN-NX'!$D$7=D1112),"x","")</f>
        <v/>
      </c>
      <c r="AB1112" s="85" t="str">
        <f>IF(AND(OR(LEFT(TH!N1112,2)="15",LEFT(TH!O1112,2)="15"),'152-CT'!$J$8=TH!F1112),"x","")</f>
        <v/>
      </c>
      <c r="AC1112" s="85" t="str">
        <f>IF(AND(OR(LEFT(TH!N1112,2)="15",LEFT(TH!O1112,2)="15"),TK!$E$7=TH!F1112),"x","")</f>
        <v/>
      </c>
      <c r="AD1112" s="85" t="str">
        <f>IF(AND(N1112="1521",MONTH(C1112)='BK-NL'!$M$11),"x","")</f>
        <v/>
      </c>
    </row>
    <row r="1113" spans="1:30" ht="15.75" customHeight="1">
      <c r="A1113" s="342" t="str">
        <f>IF(B1113&lt;&gt;"",IF(AND(B1113='IN-TC'!$S$4,OR(TH!N1113="1111",TH!O1113="1111")),TH!D1113,""),"")</f>
        <v/>
      </c>
      <c r="B1113" s="63">
        <f t="shared" si="125"/>
        <v>6</v>
      </c>
      <c r="C1113" s="64">
        <v>42529</v>
      </c>
      <c r="D1113" s="64"/>
      <c r="E1113" s="64">
        <v>42529</v>
      </c>
      <c r="F1113" s="67" t="s">
        <v>1118</v>
      </c>
      <c r="G1113" s="67" t="s">
        <v>929</v>
      </c>
      <c r="H1113" s="74" t="s">
        <v>772</v>
      </c>
      <c r="I1113" s="446"/>
      <c r="J1113" s="446"/>
      <c r="K1113" s="437"/>
      <c r="L1113" s="446"/>
      <c r="M1113" s="65">
        <v>1560000000</v>
      </c>
      <c r="N1113" s="323" t="s">
        <v>26</v>
      </c>
      <c r="O1113" s="66">
        <v>1111</v>
      </c>
      <c r="P1113" s="85" t="str">
        <f>IF(AND('331-CT'!$E$7=TH!H1113,OR(N1113="331",O1113="331")),"x","")</f>
        <v/>
      </c>
      <c r="Q1113" s="85" t="str">
        <f>IF(AND(B1113='111'!$L$11,OR($N1113=$Q$7,$O1113=$Q$7)),"x","")</f>
        <v/>
      </c>
      <c r="R1113" s="85" t="str">
        <f>IF(AND($N1113=$Q$7,$B1113&lt;'111'!$L$11),"x","")</f>
        <v/>
      </c>
      <c r="S1113" s="85" t="str">
        <f>IF(AND($O1113=$Q$7,$B1113&lt;'111'!$L$11),"x","")</f>
        <v/>
      </c>
      <c r="T1113" s="85" t="str">
        <f>IF(ISERROR(FIND('112'!$M$9,G1113,1)),"",IF((AND(FIND('112'!$M$9,G1113,1)&gt;=1,B1113='112'!$K$9,OR($N1113='112'!$I$6,$O1113='112'!$I$6))),"x",""))</f>
        <v/>
      </c>
      <c r="U1113" s="85" t="str">
        <f>IF(ISERROR(FIND('112'!$M$9,G1113,1)),"",IF((AND(LEFT(G1113,2)=LEFT('112'!$M$9,2),B1113&lt;'112'!$K$9,$N1113='112'!$I$6)),"x",""))</f>
        <v/>
      </c>
      <c r="V1113" s="85" t="str">
        <f>IF(ISERROR(FIND('112'!$M$9,G1113,1)),"",IF((AND(RIGHT(G1113,2)=RIGHT('112'!$M$9,2),B1113&lt;'112'!$K$9,$O1113='112'!$I$6)),"x",""))</f>
        <v/>
      </c>
      <c r="W1113" s="85" t="str">
        <f>IF(AND('341-CT'!$H$9=H1113,OR(LEFT(N1113,3)=$W$7,LEFT(O1113,3)=$W$7)),"x","")</f>
        <v/>
      </c>
      <c r="X1113" s="85" t="str">
        <f>IF(OR(TH!N1113=TH!$X$7,O1113=TH!$X$7),"x","")</f>
        <v/>
      </c>
      <c r="Y1113" s="85" t="str">
        <f>IF(AND(OR(N1113="131",O1113="131"),H1113='131-CT'!$H$9),"x","")</f>
        <v/>
      </c>
      <c r="Z1113" s="85"/>
      <c r="AA1113" s="85" t="str">
        <f>IF(AND(MONTH(E1113)='IN-NX'!$J$5,'IN-NX'!$D$7=D1113),"x","")</f>
        <v/>
      </c>
      <c r="AB1113" s="85" t="str">
        <f>IF(AND(OR(LEFT(TH!N1113,2)="15",LEFT(TH!O1113,2)="15"),'152-CT'!$J$8=TH!F1113),"x","")</f>
        <v/>
      </c>
      <c r="AC1113" s="85" t="str">
        <f>IF(AND(OR(LEFT(TH!N1113,2)="15",LEFT(TH!O1113,2)="15"),TK!$E$7=TH!F1113),"x","")</f>
        <v/>
      </c>
      <c r="AD1113" s="85" t="str">
        <f>IF(AND(N1113="1521",MONTH(C1113)='BK-NL'!$M$11),"x","")</f>
        <v/>
      </c>
    </row>
    <row r="1114" spans="1:30" ht="15.75" customHeight="1">
      <c r="A1114" s="342" t="str">
        <f>IF(B1114&lt;&gt;"",IF(AND(B1114='IN-TC'!$S$4,OR(TH!N1114="1111",TH!O1114="1111")),TH!D1114,""),"")</f>
        <v/>
      </c>
      <c r="B1114" s="63">
        <f t="shared" si="125"/>
        <v>6</v>
      </c>
      <c r="C1114" s="64">
        <v>42530</v>
      </c>
      <c r="D1114" s="320"/>
      <c r="E1114" s="320">
        <v>42530</v>
      </c>
      <c r="F1114" s="67" t="s">
        <v>1025</v>
      </c>
      <c r="G1114" s="995" t="s">
        <v>1599</v>
      </c>
      <c r="H1114" s="74" t="s">
        <v>818</v>
      </c>
      <c r="I1114" s="446"/>
      <c r="J1114" s="446"/>
      <c r="K1114" s="437"/>
      <c r="L1114" s="446"/>
      <c r="M1114" s="65">
        <v>1927273</v>
      </c>
      <c r="N1114" s="66" t="s">
        <v>101</v>
      </c>
      <c r="O1114" s="66" t="s">
        <v>63</v>
      </c>
      <c r="P1114" s="85" t="str">
        <f>IF(AND('331-CT'!$E$7=TH!H1114,OR(N1114="331",O1114="331")),"x","")</f>
        <v/>
      </c>
      <c r="Q1114" s="85" t="str">
        <f>IF(AND(B1114='111'!$L$11,OR($N1114=$Q$7,$O1114=$Q$7)),"x","")</f>
        <v/>
      </c>
      <c r="R1114" s="85" t="str">
        <f>IF(AND($N1114=$Q$7,$B1114&lt;'111'!$L$11),"x","")</f>
        <v/>
      </c>
      <c r="S1114" s="85" t="str">
        <f>IF(AND($O1114=$Q$7,$B1114&lt;'111'!$L$11),"x","")</f>
        <v/>
      </c>
      <c r="T1114" s="85" t="str">
        <f>IF(ISERROR(FIND('112'!$M$9,G1114,1)),"",IF((AND(FIND('112'!$M$9,G1114,1)&gt;=1,B1114='112'!$K$9,OR($N1114='112'!$I$6,$O1114='112'!$I$6))),"x",""))</f>
        <v/>
      </c>
      <c r="U1114" s="85" t="str">
        <f>IF(ISERROR(FIND('112'!$M$9,G1114,1)),"",IF((AND(LEFT(G1114,2)=LEFT('112'!$M$9,2),B1114&lt;'112'!$K$9,$N1114='112'!$I$6)),"x",""))</f>
        <v/>
      </c>
      <c r="V1114" s="85" t="str">
        <f>IF(ISERROR(FIND('112'!$M$9,G1114,1)),"",IF((AND(RIGHT(G1114,2)=RIGHT('112'!$M$9,2),B1114&lt;'112'!$K$9,$O1114='112'!$I$6)),"x",""))</f>
        <v/>
      </c>
      <c r="W1114" s="85" t="str">
        <f>IF(AND('341-CT'!$H$9=H1114,OR(LEFT(N1114,3)=$W$7,LEFT(O1114,3)=$W$7)),"x","")</f>
        <v/>
      </c>
      <c r="X1114" s="85" t="str">
        <f>IF(OR(TH!N1114=TH!$X$7,O1114=TH!$X$7),"x","")</f>
        <v/>
      </c>
      <c r="Y1114" s="85" t="str">
        <f>IF(AND(OR(N1114="131",O1114="131"),H1114='131-CT'!$H$9),"x","")</f>
        <v/>
      </c>
      <c r="Z1114" s="85"/>
      <c r="AA1114" s="85" t="str">
        <f>IF(AND(MONTH(E1114)='IN-NX'!$J$5,'IN-NX'!$D$7=D1114),"x","")</f>
        <v/>
      </c>
      <c r="AB1114" s="85" t="str">
        <f>IF(AND(OR(LEFT(TH!N1114,2)="15",LEFT(TH!O1114,2)="15"),'152-CT'!$J$8=TH!F1114),"x","")</f>
        <v/>
      </c>
      <c r="AC1114" s="85" t="str">
        <f>IF(AND(OR(LEFT(TH!N1114,2)="15",LEFT(TH!O1114,2)="15"),TK!$E$7=TH!F1114),"x","")</f>
        <v/>
      </c>
      <c r="AD1114" s="85" t="str">
        <f>IF(AND(N1114="1521",MONTH(C1114)='BK-NL'!$M$11),"x","")</f>
        <v/>
      </c>
    </row>
    <row r="1115" spans="1:30" ht="15.75" customHeight="1">
      <c r="A1115" s="342" t="str">
        <f>IF(B1115&lt;&gt;"",IF(AND(B1115='IN-TC'!$S$4,OR(TH!N1115="1111",TH!O1115="1111")),TH!D1115,""),"")</f>
        <v/>
      </c>
      <c r="B1115" s="63">
        <f t="shared" ref="B1115" si="150">IF(C1115&lt;&gt;"",MONTH(C1115),"")</f>
        <v>6</v>
      </c>
      <c r="C1115" s="64">
        <v>42530</v>
      </c>
      <c r="D1115" s="320"/>
      <c r="E1115" s="320">
        <v>42530</v>
      </c>
      <c r="F1115" s="67" t="s">
        <v>1026</v>
      </c>
      <c r="G1115" s="995" t="s">
        <v>1599</v>
      </c>
      <c r="H1115" s="74" t="s">
        <v>818</v>
      </c>
      <c r="I1115" s="446"/>
      <c r="J1115" s="446"/>
      <c r="K1115" s="437"/>
      <c r="L1115" s="446"/>
      <c r="M1115" s="65">
        <v>192727</v>
      </c>
      <c r="N1115" s="66" t="s">
        <v>9</v>
      </c>
      <c r="O1115" s="66" t="s">
        <v>63</v>
      </c>
      <c r="P1115" s="85" t="str">
        <f>IF(AND('331-CT'!$E$7=TH!H1115,OR(N1115="331",O1115="331")),"x","")</f>
        <v/>
      </c>
      <c r="Q1115" s="85" t="str">
        <f>IF(AND(B1115='111'!$L$11,OR($N1115=$Q$7,$O1115=$Q$7)),"x","")</f>
        <v/>
      </c>
      <c r="R1115" s="85" t="str">
        <f>IF(AND($N1115=$Q$7,$B1115&lt;'111'!$L$11),"x","")</f>
        <v/>
      </c>
      <c r="S1115" s="85" t="str">
        <f>IF(AND($O1115=$Q$7,$B1115&lt;'111'!$L$11),"x","")</f>
        <v/>
      </c>
      <c r="T1115" s="85" t="str">
        <f>IF(ISERROR(FIND('112'!$M$9,G1115,1)),"",IF((AND(FIND('112'!$M$9,G1115,1)&gt;=1,B1115='112'!$K$9,OR($N1115='112'!$I$6,$O1115='112'!$I$6))),"x",""))</f>
        <v/>
      </c>
      <c r="U1115" s="85" t="str">
        <f>IF(ISERROR(FIND('112'!$M$9,G1115,1)),"",IF((AND(LEFT(G1115,2)=LEFT('112'!$M$9,2),B1115&lt;'112'!$K$9,$N1115='112'!$I$6)),"x",""))</f>
        <v/>
      </c>
      <c r="V1115" s="85" t="str">
        <f>IF(ISERROR(FIND('112'!$M$9,G1115,1)),"",IF((AND(RIGHT(G1115,2)=RIGHT('112'!$M$9,2),B1115&lt;'112'!$K$9,$O1115='112'!$I$6)),"x",""))</f>
        <v/>
      </c>
      <c r="W1115" s="85" t="str">
        <f>IF(AND('341-CT'!$H$9=H1115,OR(LEFT(N1115,3)=$W$7,LEFT(O1115,3)=$W$7)),"x","")</f>
        <v/>
      </c>
      <c r="X1115" s="85" t="str">
        <f>IF(OR(TH!N1115=TH!$X$7,O1115=TH!$X$7),"x","")</f>
        <v/>
      </c>
      <c r="Y1115" s="85" t="str">
        <f>IF(AND(OR(N1115="131",O1115="131"),H1115='131-CT'!$H$9),"x","")</f>
        <v/>
      </c>
      <c r="Z1115" s="85"/>
      <c r="AA1115" s="85" t="str">
        <f>IF(AND(MONTH(E1115)='IN-NX'!$J$5,'IN-NX'!$D$7=D1115),"x","")</f>
        <v/>
      </c>
      <c r="AB1115" s="85" t="str">
        <f>IF(AND(OR(LEFT(TH!N1115,2)="15",LEFT(TH!O1115,2)="15"),'152-CT'!$J$8=TH!F1115),"x","")</f>
        <v/>
      </c>
      <c r="AC1115" s="85" t="str">
        <f>IF(AND(OR(LEFT(TH!N1115,2)="15",LEFT(TH!O1115,2)="15"),TK!$E$7=TH!F1115),"x","")</f>
        <v/>
      </c>
      <c r="AD1115" s="85" t="str">
        <f>IF(AND(N1115="1521",MONTH(C1115)='BK-NL'!$M$11),"x","")</f>
        <v/>
      </c>
    </row>
    <row r="1116" spans="1:30" ht="15.75" customHeight="1">
      <c r="A1116" s="342" t="str">
        <f>IF(B1116&lt;&gt;"",IF(AND(B1116='IN-TC'!$S$4,OR(TH!N1116="1111",TH!O1116="1111")),TH!D1116,""),"")</f>
        <v/>
      </c>
      <c r="B1116" s="63">
        <f t="shared" si="125"/>
        <v>6</v>
      </c>
      <c r="C1116" s="64">
        <v>42534</v>
      </c>
      <c r="D1116" s="64"/>
      <c r="E1116" s="64">
        <v>42534</v>
      </c>
      <c r="F1116" s="67" t="s">
        <v>1118</v>
      </c>
      <c r="G1116" s="67" t="s">
        <v>929</v>
      </c>
      <c r="H1116" s="74" t="s">
        <v>772</v>
      </c>
      <c r="I1116" s="446"/>
      <c r="J1116" s="446"/>
      <c r="K1116" s="437"/>
      <c r="L1116" s="446"/>
      <c r="M1116" s="65">
        <v>32000000</v>
      </c>
      <c r="N1116" s="66" t="s">
        <v>26</v>
      </c>
      <c r="O1116" s="66" t="s">
        <v>63</v>
      </c>
      <c r="P1116" s="85" t="str">
        <f>IF(AND('331-CT'!$E$7=TH!H1116,OR(N1116="331",O1116="331")),"x","")</f>
        <v/>
      </c>
      <c r="Q1116" s="85" t="str">
        <f>IF(AND(B1116='111'!$L$11,OR($N1116=$Q$7,$O1116=$Q$7)),"x","")</f>
        <v/>
      </c>
      <c r="R1116" s="85" t="str">
        <f>IF(AND($N1116=$Q$7,$B1116&lt;'111'!$L$11),"x","")</f>
        <v/>
      </c>
      <c r="S1116" s="85" t="str">
        <f>IF(AND($O1116=$Q$7,$B1116&lt;'111'!$L$11),"x","")</f>
        <v/>
      </c>
      <c r="T1116" s="85" t="str">
        <f>IF(ISERROR(FIND('112'!$M$9,G1116,1)),"",IF((AND(FIND('112'!$M$9,G1116,1)&gt;=1,B1116='112'!$K$9,OR($N1116='112'!$I$6,$O1116='112'!$I$6))),"x",""))</f>
        <v/>
      </c>
      <c r="U1116" s="85" t="str">
        <f>IF(ISERROR(FIND('112'!$M$9,G1116,1)),"",IF((AND(LEFT(G1116,2)=LEFT('112'!$M$9,2),B1116&lt;'112'!$K$9,$N1116='112'!$I$6)),"x",""))</f>
        <v/>
      </c>
      <c r="V1116" s="85" t="str">
        <f>IF(ISERROR(FIND('112'!$M$9,G1116,1)),"",IF((AND(RIGHT(G1116,2)=RIGHT('112'!$M$9,2),B1116&lt;'112'!$K$9,$O1116='112'!$I$6)),"x",""))</f>
        <v/>
      </c>
      <c r="W1116" s="85" t="str">
        <f>IF(AND('341-CT'!$H$9=H1116,OR(LEFT(N1116,3)=$W$7,LEFT(O1116,3)=$W$7)),"x","")</f>
        <v/>
      </c>
      <c r="X1116" s="85" t="str">
        <f>IF(OR(TH!N1116=TH!$X$7,O1116=TH!$X$7),"x","")</f>
        <v/>
      </c>
      <c r="Y1116" s="85" t="str">
        <f>IF(AND(OR(N1116="131",O1116="131"),H1116='131-CT'!$H$9),"x","")</f>
        <v/>
      </c>
      <c r="Z1116" s="85"/>
      <c r="AA1116" s="85" t="str">
        <f>IF(AND(MONTH(E1116)='IN-NX'!$J$5,'IN-NX'!$D$7=D1116),"x","")</f>
        <v/>
      </c>
      <c r="AB1116" s="85" t="str">
        <f>IF(AND(OR(LEFT(TH!N1116,2)="15",LEFT(TH!O1116,2)="15"),'152-CT'!$J$8=TH!F1116),"x","")</f>
        <v/>
      </c>
      <c r="AC1116" s="85" t="str">
        <f>IF(AND(OR(LEFT(TH!N1116,2)="15",LEFT(TH!O1116,2)="15"),TK!$E$7=TH!F1116),"x","")</f>
        <v/>
      </c>
      <c r="AD1116" s="85" t="str">
        <f>IF(AND(N1116="1521",MONTH(C1116)='BK-NL'!$M$11),"x","")</f>
        <v/>
      </c>
    </row>
    <row r="1117" spans="1:30" ht="15.75" customHeight="1">
      <c r="A1117" s="342" t="str">
        <f>IF(B1117&lt;&gt;"",IF(AND(B1117='IN-TC'!$S$4,OR(TH!N1117="1111",TH!O1117="1111")),TH!D1117,""),"")</f>
        <v/>
      </c>
      <c r="B1117" s="63">
        <f t="shared" si="125"/>
        <v>6</v>
      </c>
      <c r="C1117" s="64">
        <v>42535</v>
      </c>
      <c r="D1117" s="64"/>
      <c r="E1117" s="64">
        <v>42535</v>
      </c>
      <c r="F1117" s="67" t="s">
        <v>785</v>
      </c>
      <c r="G1117" s="995" t="s">
        <v>1600</v>
      </c>
      <c r="H1117" s="74" t="s">
        <v>818</v>
      </c>
      <c r="I1117" s="446"/>
      <c r="J1117" s="446"/>
      <c r="K1117" s="437"/>
      <c r="L1117" s="446"/>
      <c r="M1117" s="65">
        <v>900000</v>
      </c>
      <c r="N1117" s="66" t="s">
        <v>101</v>
      </c>
      <c r="O1117" s="66" t="s">
        <v>63</v>
      </c>
      <c r="P1117" s="85" t="str">
        <f>IF(AND('331-CT'!$E$7=TH!H1117,OR(N1117="331",O1117="331")),"x","")</f>
        <v/>
      </c>
      <c r="Q1117" s="85" t="str">
        <f>IF(AND(B1117='111'!$L$11,OR($N1117=$Q$7,$O1117=$Q$7)),"x","")</f>
        <v/>
      </c>
      <c r="R1117" s="85" t="str">
        <f>IF(AND($N1117=$Q$7,$B1117&lt;'111'!$L$11),"x","")</f>
        <v/>
      </c>
      <c r="S1117" s="85" t="str">
        <f>IF(AND($O1117=$Q$7,$B1117&lt;'111'!$L$11),"x","")</f>
        <v/>
      </c>
      <c r="T1117" s="85" t="str">
        <f>IF(ISERROR(FIND('112'!$M$9,G1117,1)),"",IF((AND(FIND('112'!$M$9,G1117,1)&gt;=1,B1117='112'!$K$9,OR($N1117='112'!$I$6,$O1117='112'!$I$6))),"x",""))</f>
        <v/>
      </c>
      <c r="U1117" s="85" t="str">
        <f>IF(ISERROR(FIND('112'!$M$9,G1117,1)),"",IF((AND(LEFT(G1117,2)=LEFT('112'!$M$9,2),B1117&lt;'112'!$K$9,$N1117='112'!$I$6)),"x",""))</f>
        <v/>
      </c>
      <c r="V1117" s="85" t="str">
        <f>IF(ISERROR(FIND('112'!$M$9,G1117,1)),"",IF((AND(RIGHT(G1117,2)=RIGHT('112'!$M$9,2),B1117&lt;'112'!$K$9,$O1117='112'!$I$6)),"x",""))</f>
        <v/>
      </c>
      <c r="W1117" s="85" t="str">
        <f>IF(AND('341-CT'!$H$9=H1117,OR(LEFT(N1117,3)=$W$7,LEFT(O1117,3)=$W$7)),"x","")</f>
        <v/>
      </c>
      <c r="X1117" s="85" t="str">
        <f>IF(OR(TH!N1117=TH!$X$7,O1117=TH!$X$7),"x","")</f>
        <v/>
      </c>
      <c r="Y1117" s="85" t="str">
        <f>IF(AND(OR(N1117="131",O1117="131"),H1117='131-CT'!$H$9),"x","")</f>
        <v/>
      </c>
      <c r="Z1117" s="85"/>
      <c r="AA1117" s="85" t="str">
        <f>IF(AND(MONTH(E1117)='IN-NX'!$J$5,'IN-NX'!$D$7=D1117),"x","")</f>
        <v/>
      </c>
      <c r="AB1117" s="85" t="str">
        <f>IF(AND(OR(LEFT(TH!N1117,2)="15",LEFT(TH!O1117,2)="15"),'152-CT'!$J$8=TH!F1117),"x","")</f>
        <v/>
      </c>
      <c r="AC1117" s="85" t="str">
        <f>IF(AND(OR(LEFT(TH!N1117,2)="15",LEFT(TH!O1117,2)="15"),TK!$E$7=TH!F1117),"x","")</f>
        <v/>
      </c>
      <c r="AD1117" s="85" t="str">
        <f>IF(AND(N1117="1521",MONTH(C1117)='BK-NL'!$M$11),"x","")</f>
        <v/>
      </c>
    </row>
    <row r="1118" spans="1:30" ht="15.75" customHeight="1">
      <c r="A1118" s="342" t="str">
        <f>IF(B1118&lt;&gt;"",IF(AND(B1118='IN-TC'!$S$4,OR(TH!N1118="1111",TH!O1118="1111")),TH!D1118,""),"")</f>
        <v/>
      </c>
      <c r="B1118" s="63">
        <f t="shared" ref="B1118" si="151">IF(C1118&lt;&gt;"",MONTH(C1118),"")</f>
        <v>6</v>
      </c>
      <c r="C1118" s="64">
        <v>42535</v>
      </c>
      <c r="D1118" s="64"/>
      <c r="E1118" s="64">
        <v>42535</v>
      </c>
      <c r="F1118" s="67" t="s">
        <v>786</v>
      </c>
      <c r="G1118" s="995" t="s">
        <v>1600</v>
      </c>
      <c r="H1118" s="74" t="s">
        <v>818</v>
      </c>
      <c r="I1118" s="446"/>
      <c r="J1118" s="446"/>
      <c r="K1118" s="437"/>
      <c r="L1118" s="446"/>
      <c r="M1118" s="65">
        <v>90000</v>
      </c>
      <c r="N1118" s="66" t="s">
        <v>9</v>
      </c>
      <c r="O1118" s="66" t="s">
        <v>63</v>
      </c>
      <c r="P1118" s="85" t="str">
        <f>IF(AND('331-CT'!$E$7=TH!H1118,OR(N1118="331",O1118="331")),"x","")</f>
        <v/>
      </c>
      <c r="Q1118" s="85" t="str">
        <f>IF(AND(B1118='111'!$L$11,OR($N1118=$Q$7,$O1118=$Q$7)),"x","")</f>
        <v/>
      </c>
      <c r="R1118" s="85" t="str">
        <f>IF(AND($N1118=$Q$7,$B1118&lt;'111'!$L$11),"x","")</f>
        <v/>
      </c>
      <c r="S1118" s="85" t="str">
        <f>IF(AND($O1118=$Q$7,$B1118&lt;'111'!$L$11),"x","")</f>
        <v/>
      </c>
      <c r="T1118" s="85" t="str">
        <f>IF(ISERROR(FIND('112'!$M$9,G1118,1)),"",IF((AND(FIND('112'!$M$9,G1118,1)&gt;=1,B1118='112'!$K$9,OR($N1118='112'!$I$6,$O1118='112'!$I$6))),"x",""))</f>
        <v/>
      </c>
      <c r="U1118" s="85" t="str">
        <f>IF(ISERROR(FIND('112'!$M$9,G1118,1)),"",IF((AND(LEFT(G1118,2)=LEFT('112'!$M$9,2),B1118&lt;'112'!$K$9,$N1118='112'!$I$6)),"x",""))</f>
        <v/>
      </c>
      <c r="V1118" s="85" t="str">
        <f>IF(ISERROR(FIND('112'!$M$9,G1118,1)),"",IF((AND(RIGHT(G1118,2)=RIGHT('112'!$M$9,2),B1118&lt;'112'!$K$9,$O1118='112'!$I$6)),"x",""))</f>
        <v/>
      </c>
      <c r="W1118" s="85" t="str">
        <f>IF(AND('341-CT'!$H$9=H1118,OR(LEFT(N1118,3)=$W$7,LEFT(O1118,3)=$W$7)),"x","")</f>
        <v/>
      </c>
      <c r="X1118" s="85" t="str">
        <f>IF(OR(TH!N1118=TH!$X$7,O1118=TH!$X$7),"x","")</f>
        <v/>
      </c>
      <c r="Y1118" s="85" t="str">
        <f>IF(AND(OR(N1118="131",O1118="131"),H1118='131-CT'!$H$9),"x","")</f>
        <v/>
      </c>
      <c r="Z1118" s="85"/>
      <c r="AA1118" s="85" t="str">
        <f>IF(AND(MONTH(E1118)='IN-NX'!$J$5,'IN-NX'!$D$7=D1118),"x","")</f>
        <v/>
      </c>
      <c r="AB1118" s="85" t="str">
        <f>IF(AND(OR(LEFT(TH!N1118,2)="15",LEFT(TH!O1118,2)="15"),'152-CT'!$J$8=TH!F1118),"x","")</f>
        <v/>
      </c>
      <c r="AC1118" s="85" t="str">
        <f>IF(AND(OR(LEFT(TH!N1118,2)="15",LEFT(TH!O1118,2)="15"),TK!$E$7=TH!F1118),"x","")</f>
        <v/>
      </c>
      <c r="AD1118" s="85" t="str">
        <f>IF(AND(N1118="1521",MONTH(C1118)='BK-NL'!$M$11),"x","")</f>
        <v/>
      </c>
    </row>
    <row r="1119" spans="1:30" ht="15.75" customHeight="1">
      <c r="A1119" s="342" t="str">
        <f>IF(B1119&lt;&gt;"",IF(AND(B1119='IN-TC'!$S$4,OR(TH!N1119="1111",TH!O1119="1111")),TH!D1119,""),"")</f>
        <v/>
      </c>
      <c r="B1119" s="63">
        <f t="shared" si="125"/>
        <v>6</v>
      </c>
      <c r="C1119" s="64">
        <v>42536</v>
      </c>
      <c r="D1119" s="64"/>
      <c r="E1119" s="64">
        <v>42536</v>
      </c>
      <c r="F1119" s="67" t="s">
        <v>1025</v>
      </c>
      <c r="G1119" s="995" t="s">
        <v>1601</v>
      </c>
      <c r="H1119" s="74" t="s">
        <v>818</v>
      </c>
      <c r="I1119" s="446"/>
      <c r="J1119" s="446"/>
      <c r="K1119" s="437"/>
      <c r="L1119" s="446"/>
      <c r="M1119" s="65">
        <v>2011909</v>
      </c>
      <c r="N1119" s="66" t="s">
        <v>101</v>
      </c>
      <c r="O1119" s="66" t="s">
        <v>63</v>
      </c>
      <c r="P1119" s="85" t="str">
        <f>IF(AND('331-CT'!$E$7=TH!H1119,OR(N1119="331",O1119="331")),"x","")</f>
        <v/>
      </c>
      <c r="Q1119" s="85" t="str">
        <f>IF(AND(B1119='111'!$L$11,OR($N1119=$Q$7,$O1119=$Q$7)),"x","")</f>
        <v/>
      </c>
      <c r="R1119" s="85" t="str">
        <f>IF(AND($N1119=$Q$7,$B1119&lt;'111'!$L$11),"x","")</f>
        <v/>
      </c>
      <c r="S1119" s="85" t="str">
        <f>IF(AND($O1119=$Q$7,$B1119&lt;'111'!$L$11),"x","")</f>
        <v/>
      </c>
      <c r="T1119" s="85" t="str">
        <f>IF(ISERROR(FIND('112'!$M$9,G1119,1)),"",IF((AND(FIND('112'!$M$9,G1119,1)&gt;=1,B1119='112'!$K$9,OR($N1119='112'!$I$6,$O1119='112'!$I$6))),"x",""))</f>
        <v/>
      </c>
      <c r="U1119" s="85" t="str">
        <f>IF(ISERROR(FIND('112'!$M$9,G1119,1)),"",IF((AND(LEFT(G1119,2)=LEFT('112'!$M$9,2),B1119&lt;'112'!$K$9,$N1119='112'!$I$6)),"x",""))</f>
        <v/>
      </c>
      <c r="V1119" s="85" t="str">
        <f>IF(ISERROR(FIND('112'!$M$9,G1119,1)),"",IF((AND(RIGHT(G1119,2)=RIGHT('112'!$M$9,2),B1119&lt;'112'!$K$9,$O1119='112'!$I$6)),"x",""))</f>
        <v/>
      </c>
      <c r="W1119" s="85" t="str">
        <f>IF(AND('341-CT'!$H$9=H1119,OR(LEFT(N1119,3)=$W$7,LEFT(O1119,3)=$W$7)),"x","")</f>
        <v/>
      </c>
      <c r="X1119" s="85" t="str">
        <f>IF(OR(TH!N1119=TH!$X$7,O1119=TH!$X$7),"x","")</f>
        <v/>
      </c>
      <c r="Y1119" s="85" t="str">
        <f>IF(AND(OR(N1119="131",O1119="131"),H1119='131-CT'!$H$9),"x","")</f>
        <v/>
      </c>
      <c r="Z1119" s="85"/>
      <c r="AA1119" s="85" t="str">
        <f>IF(AND(MONTH(E1119)='IN-NX'!$J$5,'IN-NX'!$D$7=D1119),"x","")</f>
        <v/>
      </c>
      <c r="AB1119" s="85" t="str">
        <f>IF(AND(OR(LEFT(TH!N1119,2)="15",LEFT(TH!O1119,2)="15"),'152-CT'!$J$8=TH!F1119),"x","")</f>
        <v/>
      </c>
      <c r="AC1119" s="85" t="str">
        <f>IF(AND(OR(LEFT(TH!N1119,2)="15",LEFT(TH!O1119,2)="15"),TK!$E$7=TH!F1119),"x","")</f>
        <v/>
      </c>
      <c r="AD1119" s="85" t="str">
        <f>IF(AND(N1119="1521",MONTH(C1119)='BK-NL'!$M$11),"x","")</f>
        <v/>
      </c>
    </row>
    <row r="1120" spans="1:30" ht="15.75" customHeight="1">
      <c r="A1120" s="342" t="str">
        <f>IF(B1120&lt;&gt;"",IF(AND(B1120='IN-TC'!$S$4,OR(TH!N1120="1111",TH!O1120="1111")),TH!D1120,""),"")</f>
        <v/>
      </c>
      <c r="B1120" s="63">
        <f t="shared" si="125"/>
        <v>6</v>
      </c>
      <c r="C1120" s="64">
        <v>42536</v>
      </c>
      <c r="D1120" s="64"/>
      <c r="E1120" s="64">
        <v>42536</v>
      </c>
      <c r="F1120" s="67" t="s">
        <v>1026</v>
      </c>
      <c r="G1120" s="995" t="s">
        <v>1601</v>
      </c>
      <c r="H1120" s="74" t="s">
        <v>818</v>
      </c>
      <c r="I1120" s="446"/>
      <c r="J1120" s="446"/>
      <c r="K1120" s="437"/>
      <c r="L1120" s="446"/>
      <c r="M1120" s="65">
        <v>201191</v>
      </c>
      <c r="N1120" s="66" t="s">
        <v>9</v>
      </c>
      <c r="O1120" s="66" t="s">
        <v>63</v>
      </c>
      <c r="P1120" s="85" t="str">
        <f>IF(AND('331-CT'!$E$7=TH!H1120,OR(N1120="331",O1120="331")),"x","")</f>
        <v/>
      </c>
      <c r="Q1120" s="85" t="str">
        <f>IF(AND(B1120='111'!$L$11,OR($N1120=$Q$7,$O1120=$Q$7)),"x","")</f>
        <v/>
      </c>
      <c r="R1120" s="85" t="str">
        <f>IF(AND($N1120=$Q$7,$B1120&lt;'111'!$L$11),"x","")</f>
        <v/>
      </c>
      <c r="S1120" s="85" t="str">
        <f>IF(AND($O1120=$Q$7,$B1120&lt;'111'!$L$11),"x","")</f>
        <v/>
      </c>
      <c r="T1120" s="85" t="str">
        <f>IF(ISERROR(FIND('112'!$M$9,G1120,1)),"",IF((AND(FIND('112'!$M$9,G1120,1)&gt;=1,B1120='112'!$K$9,OR($N1120='112'!$I$6,$O1120='112'!$I$6))),"x",""))</f>
        <v/>
      </c>
      <c r="U1120" s="85" t="str">
        <f>IF(ISERROR(FIND('112'!$M$9,G1120,1)),"",IF((AND(LEFT(G1120,2)=LEFT('112'!$M$9,2),B1120&lt;'112'!$K$9,$N1120='112'!$I$6)),"x",""))</f>
        <v/>
      </c>
      <c r="V1120" s="85" t="str">
        <f>IF(ISERROR(FIND('112'!$M$9,G1120,1)),"",IF((AND(RIGHT(G1120,2)=RIGHT('112'!$M$9,2),B1120&lt;'112'!$K$9,$O1120='112'!$I$6)),"x",""))</f>
        <v/>
      </c>
      <c r="W1120" s="85" t="str">
        <f>IF(AND('341-CT'!$H$9=H1120,OR(LEFT(N1120,3)=$W$7,LEFT(O1120,3)=$W$7)),"x","")</f>
        <v/>
      </c>
      <c r="X1120" s="85" t="str">
        <f>IF(OR(TH!N1120=TH!$X$7,O1120=TH!$X$7),"x","")</f>
        <v/>
      </c>
      <c r="Y1120" s="85" t="str">
        <f>IF(AND(OR(N1120="131",O1120="131"),H1120='131-CT'!$H$9),"x","")</f>
        <v/>
      </c>
      <c r="Z1120" s="85"/>
      <c r="AA1120" s="85" t="str">
        <f>IF(AND(MONTH(E1120)='IN-NX'!$J$5,'IN-NX'!$D$7=D1120),"x","")</f>
        <v/>
      </c>
      <c r="AB1120" s="85" t="str">
        <f>IF(AND(OR(LEFT(TH!N1120,2)="15",LEFT(TH!O1120,2)="15"),'152-CT'!$J$8=TH!F1120),"x","")</f>
        <v/>
      </c>
      <c r="AC1120" s="85" t="str">
        <f>IF(AND(OR(LEFT(TH!N1120,2)="15",LEFT(TH!O1120,2)="15"),TK!$E$7=TH!F1120),"x","")</f>
        <v/>
      </c>
      <c r="AD1120" s="85" t="str">
        <f>IF(AND(N1120="1521",MONTH(C1120)='BK-NL'!$M$11),"x","")</f>
        <v/>
      </c>
    </row>
    <row r="1121" spans="1:30" ht="15.75" customHeight="1">
      <c r="A1121" s="342" t="str">
        <f>IF(B1121&lt;&gt;"",IF(AND(B1121='IN-TC'!$S$4,OR(TH!N1121="1111",TH!O1121="1111")),TH!D1121,""),"")</f>
        <v/>
      </c>
      <c r="B1121" s="63">
        <f t="shared" si="125"/>
        <v>6</v>
      </c>
      <c r="C1121" s="64">
        <v>42538</v>
      </c>
      <c r="D1121" s="64"/>
      <c r="E1121" s="64">
        <v>42538</v>
      </c>
      <c r="F1121" s="67" t="s">
        <v>806</v>
      </c>
      <c r="G1121" s="995" t="s">
        <v>1602</v>
      </c>
      <c r="H1121" s="74" t="s">
        <v>1495</v>
      </c>
      <c r="I1121" s="446"/>
      <c r="J1121" s="446"/>
      <c r="K1121" s="437"/>
      <c r="L1121" s="446"/>
      <c r="M1121" s="65">
        <v>354533</v>
      </c>
      <c r="N1121" s="66" t="s">
        <v>101</v>
      </c>
      <c r="O1121" s="66" t="s">
        <v>63</v>
      </c>
      <c r="P1121" s="85" t="str">
        <f>IF(AND('331-CT'!$E$7=TH!H1121,OR(N1121="331",O1121="331")),"x","")</f>
        <v/>
      </c>
      <c r="Q1121" s="85" t="str">
        <f>IF(AND(B1121='111'!$L$11,OR($N1121=$Q$7,$O1121=$Q$7)),"x","")</f>
        <v/>
      </c>
      <c r="R1121" s="85" t="str">
        <f>IF(AND($N1121=$Q$7,$B1121&lt;'111'!$L$11),"x","")</f>
        <v/>
      </c>
      <c r="S1121" s="85" t="str">
        <f>IF(AND($O1121=$Q$7,$B1121&lt;'111'!$L$11),"x","")</f>
        <v/>
      </c>
      <c r="T1121" s="85" t="str">
        <f>IF(ISERROR(FIND('112'!$M$9,G1121,1)),"",IF((AND(FIND('112'!$M$9,G1121,1)&gt;=1,B1121='112'!$K$9,OR($N1121='112'!$I$6,$O1121='112'!$I$6))),"x",""))</f>
        <v/>
      </c>
      <c r="U1121" s="85" t="str">
        <f>IF(ISERROR(FIND('112'!$M$9,G1121,1)),"",IF((AND(LEFT(G1121,2)=LEFT('112'!$M$9,2),B1121&lt;'112'!$K$9,$N1121='112'!$I$6)),"x",""))</f>
        <v/>
      </c>
      <c r="V1121" s="85" t="str">
        <f>IF(ISERROR(FIND('112'!$M$9,G1121,1)),"",IF((AND(RIGHT(G1121,2)=RIGHT('112'!$M$9,2),B1121&lt;'112'!$K$9,$O1121='112'!$I$6)),"x",""))</f>
        <v/>
      </c>
      <c r="W1121" s="85" t="str">
        <f>IF(AND('341-CT'!$H$9=H1121,OR(LEFT(N1121,3)=$W$7,LEFT(O1121,3)=$W$7)),"x","")</f>
        <v/>
      </c>
      <c r="X1121" s="85" t="str">
        <f>IF(OR(TH!N1121=TH!$X$7,O1121=TH!$X$7),"x","")</f>
        <v/>
      </c>
      <c r="Y1121" s="85" t="str">
        <f>IF(AND(OR(N1121="131",O1121="131"),H1121='131-CT'!$H$9),"x","")</f>
        <v/>
      </c>
      <c r="Z1121" s="85"/>
      <c r="AA1121" s="85" t="str">
        <f>IF(AND(MONTH(E1121)='IN-NX'!$J$5,'IN-NX'!$D$7=D1121),"x","")</f>
        <v/>
      </c>
      <c r="AB1121" s="85" t="str">
        <f>IF(AND(OR(LEFT(TH!N1121,2)="15",LEFT(TH!O1121,2)="15"),'152-CT'!$J$8=TH!F1121),"x","")</f>
        <v/>
      </c>
      <c r="AC1121" s="85" t="str">
        <f>IF(AND(OR(LEFT(TH!N1121,2)="15",LEFT(TH!O1121,2)="15"),TK!$E$7=TH!F1121),"x","")</f>
        <v/>
      </c>
      <c r="AD1121" s="85" t="str">
        <f>IF(AND(N1121="1521",MONTH(C1121)='BK-NL'!$M$11),"x","")</f>
        <v/>
      </c>
    </row>
    <row r="1122" spans="1:30" ht="15.75" customHeight="1">
      <c r="A1122" s="342" t="str">
        <f>IF(B1122&lt;&gt;"",IF(AND(B1122='IN-TC'!$S$4,OR(TH!N1122="1111",TH!O1122="1111")),TH!D1122,""),"")</f>
        <v/>
      </c>
      <c r="B1122" s="63">
        <f t="shared" si="125"/>
        <v>6</v>
      </c>
      <c r="C1122" s="64">
        <v>42538</v>
      </c>
      <c r="D1122" s="64"/>
      <c r="E1122" s="64">
        <v>42538</v>
      </c>
      <c r="F1122" s="67" t="s">
        <v>807</v>
      </c>
      <c r="G1122" s="995" t="s">
        <v>1602</v>
      </c>
      <c r="H1122" s="74" t="s">
        <v>1495</v>
      </c>
      <c r="I1122" s="446"/>
      <c r="J1122" s="446"/>
      <c r="K1122" s="437"/>
      <c r="L1122" s="446"/>
      <c r="M1122" s="65">
        <v>35456</v>
      </c>
      <c r="N1122" s="66" t="s">
        <v>9</v>
      </c>
      <c r="O1122" s="66" t="s">
        <v>63</v>
      </c>
      <c r="P1122" s="85" t="str">
        <f>IF(AND('331-CT'!$E$7=TH!H1122,OR(N1122="331",O1122="331")),"x","")</f>
        <v/>
      </c>
      <c r="Q1122" s="85" t="str">
        <f>IF(AND(B1122='111'!$L$11,OR($N1122=$Q$7,$O1122=$Q$7)),"x","")</f>
        <v/>
      </c>
      <c r="R1122" s="85" t="str">
        <f>IF(AND($N1122=$Q$7,$B1122&lt;'111'!$L$11),"x","")</f>
        <v/>
      </c>
      <c r="S1122" s="85" t="str">
        <f>IF(AND($O1122=$Q$7,$B1122&lt;'111'!$L$11),"x","")</f>
        <v/>
      </c>
      <c r="T1122" s="85" t="str">
        <f>IF(ISERROR(FIND('112'!$M$9,G1122,1)),"",IF((AND(FIND('112'!$M$9,G1122,1)&gt;=1,B1122='112'!$K$9,OR($N1122='112'!$I$6,$O1122='112'!$I$6))),"x",""))</f>
        <v/>
      </c>
      <c r="U1122" s="85" t="str">
        <f>IF(ISERROR(FIND('112'!$M$9,G1122,1)),"",IF((AND(LEFT(G1122,2)=LEFT('112'!$M$9,2),B1122&lt;'112'!$K$9,$N1122='112'!$I$6)),"x",""))</f>
        <v/>
      </c>
      <c r="V1122" s="85" t="str">
        <f>IF(ISERROR(FIND('112'!$M$9,G1122,1)),"",IF((AND(RIGHT(G1122,2)=RIGHT('112'!$M$9,2),B1122&lt;'112'!$K$9,$O1122='112'!$I$6)),"x",""))</f>
        <v/>
      </c>
      <c r="W1122" s="85" t="str">
        <f>IF(AND('341-CT'!$H$9=H1122,OR(LEFT(N1122,3)=$W$7,LEFT(O1122,3)=$W$7)),"x","")</f>
        <v/>
      </c>
      <c r="X1122" s="85" t="str">
        <f>IF(OR(TH!N1122=TH!$X$7,O1122=TH!$X$7),"x","")</f>
        <v/>
      </c>
      <c r="Y1122" s="85" t="str">
        <f>IF(AND(OR(N1122="131",O1122="131"),H1122='131-CT'!$H$9),"x","")</f>
        <v/>
      </c>
      <c r="Z1122" s="85"/>
      <c r="AA1122" s="85" t="str">
        <f>IF(AND(MONTH(E1122)='IN-NX'!$J$5,'IN-NX'!$D$7=D1122),"x","")</f>
        <v/>
      </c>
      <c r="AB1122" s="85" t="str">
        <f>IF(AND(OR(LEFT(TH!N1122,2)="15",LEFT(TH!O1122,2)="15"),'152-CT'!$J$8=TH!F1122),"x","")</f>
        <v/>
      </c>
      <c r="AC1122" s="85" t="str">
        <f>IF(AND(OR(LEFT(TH!N1122,2)="15",LEFT(TH!O1122,2)="15"),TK!$E$7=TH!F1122),"x","")</f>
        <v/>
      </c>
      <c r="AD1122" s="85" t="str">
        <f>IF(AND(N1122="1521",MONTH(C1122)='BK-NL'!$M$11),"x","")</f>
        <v/>
      </c>
    </row>
    <row r="1123" spans="1:30" ht="15.75" customHeight="1">
      <c r="A1123" s="342" t="str">
        <f>IF(B1123&lt;&gt;"",IF(AND(B1123='IN-TC'!$S$4,OR(TH!N1123="1111",TH!O1123="1111")),TH!D1123,""),"")</f>
        <v/>
      </c>
      <c r="B1123" s="63">
        <f t="shared" si="125"/>
        <v>6</v>
      </c>
      <c r="C1123" s="64">
        <v>42541</v>
      </c>
      <c r="D1123" s="64"/>
      <c r="E1123" s="64">
        <v>42541</v>
      </c>
      <c r="F1123" s="67" t="s">
        <v>1603</v>
      </c>
      <c r="G1123" s="995" t="s">
        <v>1605</v>
      </c>
      <c r="H1123" s="74" t="s">
        <v>1606</v>
      </c>
      <c r="I1123" s="446"/>
      <c r="J1123" s="446"/>
      <c r="K1123" s="437"/>
      <c r="L1123" s="446"/>
      <c r="M1123" s="65">
        <v>2548279</v>
      </c>
      <c r="N1123" s="66" t="s">
        <v>101</v>
      </c>
      <c r="O1123" s="66" t="s">
        <v>63</v>
      </c>
      <c r="P1123" s="85" t="str">
        <f>IF(AND('331-CT'!$E$7=TH!H1123,OR(N1123="331",O1123="331")),"x","")</f>
        <v/>
      </c>
      <c r="Q1123" s="85" t="str">
        <f>IF(AND(B1123='111'!$L$11,OR($N1123=$Q$7,$O1123=$Q$7)),"x","")</f>
        <v/>
      </c>
      <c r="R1123" s="85" t="str">
        <f>IF(AND($N1123=$Q$7,$B1123&lt;'111'!$L$11),"x","")</f>
        <v/>
      </c>
      <c r="S1123" s="85" t="str">
        <f>IF(AND($O1123=$Q$7,$B1123&lt;'111'!$L$11),"x","")</f>
        <v/>
      </c>
      <c r="T1123" s="85" t="str">
        <f>IF(ISERROR(FIND('112'!$M$9,G1123,1)),"",IF((AND(FIND('112'!$M$9,G1123,1)&gt;=1,B1123='112'!$K$9,OR($N1123='112'!$I$6,$O1123='112'!$I$6))),"x",""))</f>
        <v/>
      </c>
      <c r="U1123" s="85" t="str">
        <f>IF(ISERROR(FIND('112'!$M$9,G1123,1)),"",IF((AND(LEFT(G1123,2)=LEFT('112'!$M$9,2),B1123&lt;'112'!$K$9,$N1123='112'!$I$6)),"x",""))</f>
        <v/>
      </c>
      <c r="V1123" s="85" t="str">
        <f>IF(ISERROR(FIND('112'!$M$9,G1123,1)),"",IF((AND(RIGHT(G1123,2)=RIGHT('112'!$M$9,2),B1123&lt;'112'!$K$9,$O1123='112'!$I$6)),"x",""))</f>
        <v/>
      </c>
      <c r="W1123" s="85" t="str">
        <f>IF(AND('341-CT'!$H$9=H1123,OR(LEFT(N1123,3)=$W$7,LEFT(O1123,3)=$W$7)),"x","")</f>
        <v/>
      </c>
      <c r="X1123" s="85" t="str">
        <f>IF(OR(TH!N1123=TH!$X$7,O1123=TH!$X$7),"x","")</f>
        <v/>
      </c>
      <c r="Y1123" s="85" t="str">
        <f>IF(AND(OR(N1123="131",O1123="131"),H1123='131-CT'!$H$9),"x","")</f>
        <v/>
      </c>
      <c r="Z1123" s="85"/>
      <c r="AA1123" s="85" t="str">
        <f>IF(AND(MONTH(E1123)='IN-NX'!$J$5,'IN-NX'!$D$7=D1123),"x","")</f>
        <v/>
      </c>
      <c r="AB1123" s="85" t="str">
        <f>IF(AND(OR(LEFT(TH!N1123,2)="15",LEFT(TH!O1123,2)="15"),'152-CT'!$J$8=TH!F1123),"x","")</f>
        <v/>
      </c>
      <c r="AC1123" s="85" t="str">
        <f>IF(AND(OR(LEFT(TH!N1123,2)="15",LEFT(TH!O1123,2)="15"),TK!$E$7=TH!F1123),"x","")</f>
        <v/>
      </c>
      <c r="AD1123" s="85" t="str">
        <f>IF(AND(N1123="1521",MONTH(C1123)='BK-NL'!$M$11),"x","")</f>
        <v/>
      </c>
    </row>
    <row r="1124" spans="1:30" ht="15.75" customHeight="1">
      <c r="A1124" s="342" t="str">
        <f>IF(B1124&lt;&gt;"",IF(AND(B1124='IN-TC'!$S$4,OR(TH!N1124="1111",TH!O1124="1111")),TH!D1124,""),"")</f>
        <v/>
      </c>
      <c r="B1124" s="63">
        <f t="shared" si="125"/>
        <v>6</v>
      </c>
      <c r="C1124" s="64">
        <v>42541</v>
      </c>
      <c r="D1124" s="64"/>
      <c r="E1124" s="64">
        <v>42541</v>
      </c>
      <c r="F1124" s="67" t="s">
        <v>1604</v>
      </c>
      <c r="G1124" s="995" t="s">
        <v>1605</v>
      </c>
      <c r="H1124" s="74" t="s">
        <v>1606</v>
      </c>
      <c r="I1124" s="446"/>
      <c r="J1124" s="446"/>
      <c r="K1124" s="437"/>
      <c r="L1124" s="446"/>
      <c r="M1124" s="65">
        <v>254828</v>
      </c>
      <c r="N1124" s="66" t="s">
        <v>9</v>
      </c>
      <c r="O1124" s="66" t="s">
        <v>63</v>
      </c>
      <c r="P1124" s="85" t="str">
        <f>IF(AND('331-CT'!$E$7=TH!H1124,OR(N1124="331",O1124="331")),"x","")</f>
        <v/>
      </c>
      <c r="Q1124" s="85" t="str">
        <f>IF(AND(B1124='111'!$L$11,OR($N1124=$Q$7,$O1124=$Q$7)),"x","")</f>
        <v/>
      </c>
      <c r="R1124" s="85" t="str">
        <f>IF(AND($N1124=$Q$7,$B1124&lt;'111'!$L$11),"x","")</f>
        <v/>
      </c>
      <c r="S1124" s="85" t="str">
        <f>IF(AND($O1124=$Q$7,$B1124&lt;'111'!$L$11),"x","")</f>
        <v/>
      </c>
      <c r="T1124" s="85" t="str">
        <f>IF(ISERROR(FIND('112'!$M$9,G1124,1)),"",IF((AND(FIND('112'!$M$9,G1124,1)&gt;=1,B1124='112'!$K$9,OR($N1124='112'!$I$6,$O1124='112'!$I$6))),"x",""))</f>
        <v/>
      </c>
      <c r="U1124" s="85" t="str">
        <f>IF(ISERROR(FIND('112'!$M$9,G1124,1)),"",IF((AND(LEFT(G1124,2)=LEFT('112'!$M$9,2),B1124&lt;'112'!$K$9,$N1124='112'!$I$6)),"x",""))</f>
        <v/>
      </c>
      <c r="V1124" s="85" t="str">
        <f>IF(ISERROR(FIND('112'!$M$9,G1124,1)),"",IF((AND(RIGHT(G1124,2)=RIGHT('112'!$M$9,2),B1124&lt;'112'!$K$9,$O1124='112'!$I$6)),"x",""))</f>
        <v/>
      </c>
      <c r="W1124" s="85" t="str">
        <f>IF(AND('341-CT'!$H$9=H1124,OR(LEFT(N1124,3)=$W$7,LEFT(O1124,3)=$W$7)),"x","")</f>
        <v/>
      </c>
      <c r="X1124" s="85" t="str">
        <f>IF(OR(TH!N1124=TH!$X$7,O1124=TH!$X$7),"x","")</f>
        <v/>
      </c>
      <c r="Y1124" s="85" t="str">
        <f>IF(AND(OR(N1124="131",O1124="131"),H1124='131-CT'!$H$9),"x","")</f>
        <v/>
      </c>
      <c r="Z1124" s="85"/>
      <c r="AA1124" s="85" t="str">
        <f>IF(AND(MONTH(E1124)='IN-NX'!$J$5,'IN-NX'!$D$7=D1124),"x","")</f>
        <v/>
      </c>
      <c r="AB1124" s="85" t="str">
        <f>IF(AND(OR(LEFT(TH!N1124,2)="15",LEFT(TH!O1124,2)="15"),'152-CT'!$J$8=TH!F1124),"x","")</f>
        <v/>
      </c>
      <c r="AC1124" s="85" t="str">
        <f>IF(AND(OR(LEFT(TH!N1124,2)="15",LEFT(TH!O1124,2)="15"),TK!$E$7=TH!F1124),"x","")</f>
        <v/>
      </c>
      <c r="AD1124" s="85" t="str">
        <f>IF(AND(N1124="1521",MONTH(C1124)='BK-NL'!$M$11),"x","")</f>
        <v/>
      </c>
    </row>
    <row r="1125" spans="1:30" ht="15.75" customHeight="1">
      <c r="A1125" s="342" t="str">
        <f>IF(B1125&lt;&gt;"",IF(AND(B1125='IN-TC'!$S$4,OR(TH!N1125="1111",TH!O1125="1111")),TH!D1125,""),"")</f>
        <v/>
      </c>
      <c r="B1125" s="63">
        <f t="shared" si="125"/>
        <v>6</v>
      </c>
      <c r="C1125" s="64">
        <v>42541</v>
      </c>
      <c r="D1125" s="64"/>
      <c r="E1125" s="64">
        <v>42541</v>
      </c>
      <c r="F1125" s="67" t="s">
        <v>785</v>
      </c>
      <c r="G1125" s="995" t="s">
        <v>1607</v>
      </c>
      <c r="H1125" s="74" t="s">
        <v>818</v>
      </c>
      <c r="I1125" s="446"/>
      <c r="J1125" s="446"/>
      <c r="K1125" s="437"/>
      <c r="L1125" s="446"/>
      <c r="M1125" s="65">
        <v>1469818</v>
      </c>
      <c r="N1125" s="66" t="s">
        <v>101</v>
      </c>
      <c r="O1125" s="66" t="s">
        <v>63</v>
      </c>
      <c r="P1125" s="85" t="str">
        <f>IF(AND('331-CT'!$E$7=TH!H1125,OR(N1125="331",O1125="331")),"x","")</f>
        <v/>
      </c>
      <c r="Q1125" s="85" t="str">
        <f>IF(AND(B1125='111'!$L$11,OR($N1125=$Q$7,$O1125=$Q$7)),"x","")</f>
        <v/>
      </c>
      <c r="R1125" s="85" t="str">
        <f>IF(AND($N1125=$Q$7,$B1125&lt;'111'!$L$11),"x","")</f>
        <v/>
      </c>
      <c r="S1125" s="85" t="str">
        <f>IF(AND($O1125=$Q$7,$B1125&lt;'111'!$L$11),"x","")</f>
        <v/>
      </c>
      <c r="T1125" s="85" t="str">
        <f>IF(ISERROR(FIND('112'!$M$9,G1125,1)),"",IF((AND(FIND('112'!$M$9,G1125,1)&gt;=1,B1125='112'!$K$9,OR($N1125='112'!$I$6,$O1125='112'!$I$6))),"x",""))</f>
        <v/>
      </c>
      <c r="U1125" s="85" t="str">
        <f>IF(ISERROR(FIND('112'!$M$9,G1125,1)),"",IF((AND(LEFT(G1125,2)=LEFT('112'!$M$9,2),B1125&lt;'112'!$K$9,$N1125='112'!$I$6)),"x",""))</f>
        <v/>
      </c>
      <c r="V1125" s="85" t="str">
        <f>IF(ISERROR(FIND('112'!$M$9,G1125,1)),"",IF((AND(RIGHT(G1125,2)=RIGHT('112'!$M$9,2),B1125&lt;'112'!$K$9,$O1125='112'!$I$6)),"x",""))</f>
        <v/>
      </c>
      <c r="W1125" s="85" t="str">
        <f>IF(AND('341-CT'!$H$9=H1125,OR(LEFT(N1125,3)=$W$7,LEFT(O1125,3)=$W$7)),"x","")</f>
        <v/>
      </c>
      <c r="X1125" s="85" t="str">
        <f>IF(OR(TH!N1125=TH!$X$7,O1125=TH!$X$7),"x","")</f>
        <v/>
      </c>
      <c r="Y1125" s="85" t="str">
        <f>IF(AND(OR(N1125="131",O1125="131"),H1125='131-CT'!$H$9),"x","")</f>
        <v/>
      </c>
      <c r="Z1125" s="85"/>
      <c r="AA1125" s="85" t="str">
        <f>IF(AND(MONTH(E1125)='IN-NX'!$J$5,'IN-NX'!$D$7=D1125),"x","")</f>
        <v/>
      </c>
      <c r="AB1125" s="85" t="str">
        <f>IF(AND(OR(LEFT(TH!N1125,2)="15",LEFT(TH!O1125,2)="15"),'152-CT'!$J$8=TH!F1125),"x","")</f>
        <v/>
      </c>
      <c r="AC1125" s="85" t="str">
        <f>IF(AND(OR(LEFT(TH!N1125,2)="15",LEFT(TH!O1125,2)="15"),TK!$E$7=TH!F1125),"x","")</f>
        <v/>
      </c>
      <c r="AD1125" s="85" t="str">
        <f>IF(AND(N1125="1521",MONTH(C1125)='BK-NL'!$M$11),"x","")</f>
        <v/>
      </c>
    </row>
    <row r="1126" spans="1:30" ht="15.75" customHeight="1">
      <c r="A1126" s="342" t="str">
        <f>IF(B1126&lt;&gt;"",IF(AND(B1126='IN-TC'!$S$4,OR(TH!N1126="1111",TH!O1126="1111")),TH!D1126,""),"")</f>
        <v/>
      </c>
      <c r="B1126" s="63">
        <f t="shared" si="125"/>
        <v>6</v>
      </c>
      <c r="C1126" s="64">
        <v>42541</v>
      </c>
      <c r="D1126" s="64"/>
      <c r="E1126" s="64">
        <v>42541</v>
      </c>
      <c r="F1126" s="67" t="s">
        <v>786</v>
      </c>
      <c r="G1126" s="995" t="s">
        <v>1607</v>
      </c>
      <c r="H1126" s="74" t="s">
        <v>818</v>
      </c>
      <c r="I1126" s="446"/>
      <c r="J1126" s="446"/>
      <c r="K1126" s="437"/>
      <c r="L1126" s="446"/>
      <c r="M1126" s="65">
        <v>146982</v>
      </c>
      <c r="N1126" s="66" t="s">
        <v>9</v>
      </c>
      <c r="O1126" s="66" t="s">
        <v>63</v>
      </c>
      <c r="P1126" s="85" t="str">
        <f>IF(AND('331-CT'!$E$7=TH!H1126,OR(N1126="331",O1126="331")),"x","")</f>
        <v/>
      </c>
      <c r="Q1126" s="85" t="str">
        <f>IF(AND(B1126='111'!$L$11,OR($N1126=$Q$7,$O1126=$Q$7)),"x","")</f>
        <v/>
      </c>
      <c r="R1126" s="85" t="str">
        <f>IF(AND($N1126=$Q$7,$B1126&lt;'111'!$L$11),"x","")</f>
        <v/>
      </c>
      <c r="S1126" s="85" t="str">
        <f>IF(AND($O1126=$Q$7,$B1126&lt;'111'!$L$11),"x","")</f>
        <v/>
      </c>
      <c r="T1126" s="85" t="str">
        <f>IF(ISERROR(FIND('112'!$M$9,G1126,1)),"",IF((AND(FIND('112'!$M$9,G1126,1)&gt;=1,B1126='112'!$K$9,OR($N1126='112'!$I$6,$O1126='112'!$I$6))),"x",""))</f>
        <v/>
      </c>
      <c r="U1126" s="85" t="str">
        <f>IF(ISERROR(FIND('112'!$M$9,G1126,1)),"",IF((AND(LEFT(G1126,2)=LEFT('112'!$M$9,2),B1126&lt;'112'!$K$9,$N1126='112'!$I$6)),"x",""))</f>
        <v/>
      </c>
      <c r="V1126" s="85" t="str">
        <f>IF(ISERROR(FIND('112'!$M$9,G1126,1)),"",IF((AND(RIGHT(G1126,2)=RIGHT('112'!$M$9,2),B1126&lt;'112'!$K$9,$O1126='112'!$I$6)),"x",""))</f>
        <v/>
      </c>
      <c r="W1126" s="85" t="str">
        <f>IF(AND('341-CT'!$H$9=H1126,OR(LEFT(N1126,3)=$W$7,LEFT(O1126,3)=$W$7)),"x","")</f>
        <v/>
      </c>
      <c r="X1126" s="85" t="str">
        <f>IF(OR(TH!N1126=TH!$X$7,O1126=TH!$X$7),"x","")</f>
        <v/>
      </c>
      <c r="Y1126" s="85" t="str">
        <f>IF(AND(OR(N1126="131",O1126="131"),H1126='131-CT'!$H$9),"x","")</f>
        <v/>
      </c>
      <c r="Z1126" s="85"/>
      <c r="AA1126" s="85" t="str">
        <f>IF(AND(MONTH(E1126)='IN-NX'!$J$5,'IN-NX'!$D$7=D1126),"x","")</f>
        <v/>
      </c>
      <c r="AB1126" s="85" t="str">
        <f>IF(AND(OR(LEFT(TH!N1126,2)="15",LEFT(TH!O1126,2)="15"),'152-CT'!$J$8=TH!F1126),"x","")</f>
        <v/>
      </c>
      <c r="AC1126" s="85" t="str">
        <f>IF(AND(OR(LEFT(TH!N1126,2)="15",LEFT(TH!O1126,2)="15"),TK!$E$7=TH!F1126),"x","")</f>
        <v/>
      </c>
      <c r="AD1126" s="85" t="str">
        <f>IF(AND(N1126="1521",MONTH(C1126)='BK-NL'!$M$11),"x","")</f>
        <v/>
      </c>
    </row>
    <row r="1127" spans="1:30" ht="15.75" customHeight="1">
      <c r="A1127" s="342" t="str">
        <f>IF(B1127&lt;&gt;"",IF(AND(B1127='IN-TC'!$S$4,OR(TH!N1127="1111",TH!O1127="1111")),TH!D1127,""),"")</f>
        <v/>
      </c>
      <c r="B1127" s="63">
        <f t="shared" si="125"/>
        <v>6</v>
      </c>
      <c r="C1127" s="64">
        <v>42541</v>
      </c>
      <c r="D1127" s="64"/>
      <c r="E1127" s="64">
        <v>42541</v>
      </c>
      <c r="F1127" s="67" t="s">
        <v>1024</v>
      </c>
      <c r="G1127" s="995" t="s">
        <v>1608</v>
      </c>
      <c r="H1127" s="74" t="s">
        <v>1048</v>
      </c>
      <c r="I1127" s="446"/>
      <c r="J1127" s="446"/>
      <c r="K1127" s="437"/>
      <c r="L1127" s="446"/>
      <c r="M1127" s="65">
        <v>1520000</v>
      </c>
      <c r="N1127" s="66" t="s">
        <v>101</v>
      </c>
      <c r="O1127" s="66" t="s">
        <v>63</v>
      </c>
      <c r="P1127" s="85" t="str">
        <f>IF(AND('331-CT'!$E$7=TH!H1127,OR(N1127="331",O1127="331")),"x","")</f>
        <v/>
      </c>
      <c r="Q1127" s="85" t="str">
        <f>IF(AND(B1127='111'!$L$11,OR($N1127=$Q$7,$O1127=$Q$7)),"x","")</f>
        <v/>
      </c>
      <c r="R1127" s="85" t="str">
        <f>IF(AND($N1127=$Q$7,$B1127&lt;'111'!$L$11),"x","")</f>
        <v/>
      </c>
      <c r="S1127" s="85" t="str">
        <f>IF(AND($O1127=$Q$7,$B1127&lt;'111'!$L$11),"x","")</f>
        <v/>
      </c>
      <c r="T1127" s="85" t="str">
        <f>IF(ISERROR(FIND('112'!$M$9,G1127,1)),"",IF((AND(FIND('112'!$M$9,G1127,1)&gt;=1,B1127='112'!$K$9,OR($N1127='112'!$I$6,$O1127='112'!$I$6))),"x",""))</f>
        <v/>
      </c>
      <c r="U1127" s="85" t="str">
        <f>IF(ISERROR(FIND('112'!$M$9,G1127,1)),"",IF((AND(LEFT(G1127,2)=LEFT('112'!$M$9,2),B1127&lt;'112'!$K$9,$N1127='112'!$I$6)),"x",""))</f>
        <v/>
      </c>
      <c r="V1127" s="85" t="str">
        <f>IF(ISERROR(FIND('112'!$M$9,G1127,1)),"",IF((AND(RIGHT(G1127,2)=RIGHT('112'!$M$9,2),B1127&lt;'112'!$K$9,$O1127='112'!$I$6)),"x",""))</f>
        <v/>
      </c>
      <c r="W1127" s="85" t="str">
        <f>IF(AND('341-CT'!$H$9=H1127,OR(LEFT(N1127,3)=$W$7,LEFT(O1127,3)=$W$7)),"x","")</f>
        <v/>
      </c>
      <c r="X1127" s="85" t="str">
        <f>IF(OR(TH!N1127=TH!$X$7,O1127=TH!$X$7),"x","")</f>
        <v/>
      </c>
      <c r="Y1127" s="85" t="str">
        <f>IF(AND(OR(N1127="131",O1127="131"),H1127='131-CT'!$H$9),"x","")</f>
        <v/>
      </c>
      <c r="Z1127" s="85"/>
      <c r="AA1127" s="85" t="str">
        <f>IF(AND(MONTH(E1127)='IN-NX'!$J$5,'IN-NX'!$D$7=D1127),"x","")</f>
        <v/>
      </c>
      <c r="AB1127" s="85" t="str">
        <f>IF(AND(OR(LEFT(TH!N1127,2)="15",LEFT(TH!O1127,2)="15"),'152-CT'!$J$8=TH!F1127),"x","")</f>
        <v/>
      </c>
      <c r="AC1127" s="85" t="str">
        <f>IF(AND(OR(LEFT(TH!N1127,2)="15",LEFT(TH!O1127,2)="15"),TK!$E$7=TH!F1127),"x","")</f>
        <v/>
      </c>
      <c r="AD1127" s="85" t="str">
        <f>IF(AND(N1127="1521",MONTH(C1127)='BK-NL'!$M$11),"x","")</f>
        <v/>
      </c>
    </row>
    <row r="1128" spans="1:30" s="1445" customFormat="1" ht="15.75" customHeight="1">
      <c r="A1128" s="1182" t="str">
        <f>IF(B1128&lt;&gt;"",IF(AND(B1128='IN-TC'!$S$4,OR(TH!N1128="1111",TH!O1128="1111")),TH!D1128,""),"")</f>
        <v/>
      </c>
      <c r="B1128" s="1437">
        <f t="shared" si="125"/>
        <v>6</v>
      </c>
      <c r="C1128" s="1438">
        <v>42542</v>
      </c>
      <c r="D1128" s="1438"/>
      <c r="E1128" s="1438">
        <v>42542</v>
      </c>
      <c r="F1128" s="1439" t="s">
        <v>1609</v>
      </c>
      <c r="G1128" s="1439"/>
      <c r="H1128" s="1440" t="s">
        <v>1610</v>
      </c>
      <c r="I1128" s="1441"/>
      <c r="J1128" s="1441"/>
      <c r="K1128" s="1442"/>
      <c r="L1128" s="1441"/>
      <c r="M1128" s="1443">
        <v>4898300</v>
      </c>
      <c r="N1128" s="1444" t="s">
        <v>1611</v>
      </c>
      <c r="O1128" s="1444" t="s">
        <v>63</v>
      </c>
      <c r="P1128" s="1444" t="str">
        <f>IF(AND('331-CT'!$E$7=TH!H1128,OR(N1128="331",O1128="331")),"x","")</f>
        <v/>
      </c>
      <c r="Q1128" s="1444" t="str">
        <f>IF(AND(B1128='111'!$L$11,OR($N1128=$Q$7,$O1128=$Q$7)),"x","")</f>
        <v/>
      </c>
      <c r="R1128" s="1444" t="str">
        <f>IF(AND($N1128=$Q$7,$B1128&lt;'111'!$L$11),"x","")</f>
        <v/>
      </c>
      <c r="S1128" s="1444" t="str">
        <f>IF(AND($O1128=$Q$7,$B1128&lt;'111'!$L$11),"x","")</f>
        <v/>
      </c>
      <c r="T1128" s="1444" t="str">
        <f>IF(ISERROR(FIND('112'!$M$9,G1128,1)),"",IF((AND(FIND('112'!$M$9,G1128,1)&gt;=1,B1128='112'!$K$9,OR($N1128='112'!$I$6,$O1128='112'!$I$6))),"x",""))</f>
        <v/>
      </c>
      <c r="U1128" s="1444" t="str">
        <f>IF(ISERROR(FIND('112'!$M$9,G1128,1)),"",IF((AND(LEFT(G1128,2)=LEFT('112'!$M$9,2),B1128&lt;'112'!$K$9,$N1128='112'!$I$6)),"x",""))</f>
        <v/>
      </c>
      <c r="V1128" s="1444" t="str">
        <f>IF(ISERROR(FIND('112'!$M$9,G1128,1)),"",IF((AND(RIGHT(G1128,2)=RIGHT('112'!$M$9,2),B1128&lt;'112'!$K$9,$O1128='112'!$I$6)),"x",""))</f>
        <v/>
      </c>
      <c r="W1128" s="1444" t="str">
        <f>IF(AND('341-CT'!$H$9=H1128,OR(LEFT(N1128,3)=$W$7,LEFT(O1128,3)=$W$7)),"x","")</f>
        <v/>
      </c>
      <c r="X1128" s="1444" t="str">
        <f>IF(OR(TH!N1128=TH!$X$7,O1128=TH!$X$7),"x","")</f>
        <v/>
      </c>
      <c r="Y1128" s="1444" t="str">
        <f>IF(AND(OR(N1128="131",O1128="131"),H1128='131-CT'!$H$9),"x","")</f>
        <v/>
      </c>
      <c r="Z1128" s="1444"/>
      <c r="AA1128" s="1444" t="str">
        <f>IF(AND(MONTH(E1128)='IN-NX'!$J$5,'IN-NX'!$D$7=D1128),"x","")</f>
        <v/>
      </c>
      <c r="AB1128" s="1444" t="str">
        <f>IF(AND(OR(LEFT(TH!N1128,2)="15",LEFT(TH!O1128,2)="15"),'152-CT'!$J$8=TH!F1128),"x","")</f>
        <v/>
      </c>
      <c r="AC1128" s="1444" t="str">
        <f>IF(AND(OR(LEFT(TH!N1128,2)="15",LEFT(TH!O1128,2)="15"),TK!$E$7=TH!F1128),"x","")</f>
        <v/>
      </c>
      <c r="AD1128" s="1444" t="str">
        <f>IF(AND(N1128="1521",MONTH(C1128)='BK-NL'!$M$11),"x","")</f>
        <v/>
      </c>
    </row>
    <row r="1129" spans="1:30" ht="15.75" customHeight="1">
      <c r="A1129" s="342" t="str">
        <f>IF(B1129&lt;&gt;"",IF(AND(B1129='IN-TC'!$S$4,OR(TH!N1129="1111",TH!O1129="1111")),TH!D1129,""),"")</f>
        <v/>
      </c>
      <c r="B1129" s="63">
        <f t="shared" si="125"/>
        <v>6</v>
      </c>
      <c r="C1129" s="64">
        <v>42543</v>
      </c>
      <c r="D1129" s="64"/>
      <c r="E1129" s="64">
        <v>42543</v>
      </c>
      <c r="F1129" s="67" t="s">
        <v>1612</v>
      </c>
      <c r="G1129" s="995" t="s">
        <v>1613</v>
      </c>
      <c r="H1129" s="74" t="s">
        <v>1614</v>
      </c>
      <c r="I1129" s="446"/>
      <c r="J1129" s="446"/>
      <c r="K1129" s="437"/>
      <c r="L1129" s="446"/>
      <c r="M1129" s="65">
        <v>107563</v>
      </c>
      <c r="N1129" s="66" t="s">
        <v>594</v>
      </c>
      <c r="O1129" s="66" t="s">
        <v>63</v>
      </c>
      <c r="P1129" s="85" t="str">
        <f>IF(AND('331-CT'!$E$7=TH!H1129,OR(N1129="331",O1129="331")),"x","")</f>
        <v/>
      </c>
      <c r="Q1129" s="85" t="str">
        <f>IF(AND(B1129='111'!$L$11,OR($N1129=$Q$7,$O1129=$Q$7)),"x","")</f>
        <v/>
      </c>
      <c r="R1129" s="85" t="str">
        <f>IF(AND($N1129=$Q$7,$B1129&lt;'111'!$L$11),"x","")</f>
        <v/>
      </c>
      <c r="S1129" s="85" t="str">
        <f>IF(AND($O1129=$Q$7,$B1129&lt;'111'!$L$11),"x","")</f>
        <v/>
      </c>
      <c r="T1129" s="85" t="str">
        <f>IF(ISERROR(FIND('112'!$M$9,G1129,1)),"",IF((AND(FIND('112'!$M$9,G1129,1)&gt;=1,B1129='112'!$K$9,OR($N1129='112'!$I$6,$O1129='112'!$I$6))),"x",""))</f>
        <v/>
      </c>
      <c r="U1129" s="85" t="str">
        <f>IF(ISERROR(FIND('112'!$M$9,G1129,1)),"",IF((AND(LEFT(G1129,2)=LEFT('112'!$M$9,2),B1129&lt;'112'!$K$9,$N1129='112'!$I$6)),"x",""))</f>
        <v/>
      </c>
      <c r="V1129" s="85" t="str">
        <f>IF(ISERROR(FIND('112'!$M$9,G1129,1)),"",IF((AND(RIGHT(G1129,2)=RIGHT('112'!$M$9,2),B1129&lt;'112'!$K$9,$O1129='112'!$I$6)),"x",""))</f>
        <v/>
      </c>
      <c r="W1129" s="85" t="str">
        <f>IF(AND('341-CT'!$H$9=H1129,OR(LEFT(N1129,3)=$W$7,LEFT(O1129,3)=$W$7)),"x","")</f>
        <v/>
      </c>
      <c r="X1129" s="85" t="str">
        <f>IF(OR(TH!N1129=TH!$X$7,O1129=TH!$X$7),"x","")</f>
        <v/>
      </c>
      <c r="Y1129" s="85" t="str">
        <f>IF(AND(OR(N1129="131",O1129="131"),H1129='131-CT'!$H$9),"x","")</f>
        <v/>
      </c>
      <c r="Z1129" s="85"/>
      <c r="AA1129" s="85" t="str">
        <f>IF(AND(MONTH(E1129)='IN-NX'!$J$5,'IN-NX'!$D$7=D1129),"x","")</f>
        <v/>
      </c>
      <c r="AB1129" s="85" t="str">
        <f>IF(AND(OR(LEFT(TH!N1129,2)="15",LEFT(TH!O1129,2)="15"),'152-CT'!$J$8=TH!F1129),"x","")</f>
        <v/>
      </c>
      <c r="AC1129" s="85" t="str">
        <f>IF(AND(OR(LEFT(TH!N1129,2)="15",LEFT(TH!O1129,2)="15"),TK!$E$7=TH!F1129),"x","")</f>
        <v/>
      </c>
      <c r="AD1129" s="85" t="str">
        <f>IF(AND(N1129="1521",MONTH(C1129)='BK-NL'!$M$11),"x","")</f>
        <v/>
      </c>
    </row>
    <row r="1130" spans="1:30" ht="15.75" customHeight="1">
      <c r="A1130" s="342" t="str">
        <f>IF(B1130&lt;&gt;"",IF(AND(B1130='IN-TC'!$S$4,OR(TH!N1130="1111",TH!O1130="1111")),TH!D1130,""),"")</f>
        <v/>
      </c>
      <c r="B1130" s="63">
        <f t="shared" ref="B1130" si="152">IF(C1130&lt;&gt;"",MONTH(C1130),"")</f>
        <v>6</v>
      </c>
      <c r="C1130" s="64">
        <v>42543</v>
      </c>
      <c r="D1130" s="64"/>
      <c r="E1130" s="64">
        <v>42543</v>
      </c>
      <c r="F1130" s="67" t="s">
        <v>1615</v>
      </c>
      <c r="G1130" s="995" t="s">
        <v>1613</v>
      </c>
      <c r="H1130" s="74" t="s">
        <v>1614</v>
      </c>
      <c r="I1130" s="446"/>
      <c r="J1130" s="446"/>
      <c r="K1130" s="437"/>
      <c r="L1130" s="446"/>
      <c r="M1130" s="65">
        <v>10756</v>
      </c>
      <c r="N1130" s="66" t="s">
        <v>594</v>
      </c>
      <c r="O1130" s="66" t="s">
        <v>63</v>
      </c>
      <c r="P1130" s="85" t="str">
        <f>IF(AND('331-CT'!$E$7=TH!H1130,OR(N1130="331",O1130="331")),"x","")</f>
        <v/>
      </c>
      <c r="Q1130" s="85" t="str">
        <f>IF(AND(B1130='111'!$L$11,OR($N1130=$Q$7,$O1130=$Q$7)),"x","")</f>
        <v/>
      </c>
      <c r="R1130" s="85" t="str">
        <f>IF(AND($N1130=$Q$7,$B1130&lt;'111'!$L$11),"x","")</f>
        <v/>
      </c>
      <c r="S1130" s="85" t="str">
        <f>IF(AND($O1130=$Q$7,$B1130&lt;'111'!$L$11),"x","")</f>
        <v/>
      </c>
      <c r="T1130" s="85" t="str">
        <f>IF(ISERROR(FIND('112'!$M$9,G1130,1)),"",IF((AND(FIND('112'!$M$9,G1130,1)&gt;=1,B1130='112'!$K$9,OR($N1130='112'!$I$6,$O1130='112'!$I$6))),"x",""))</f>
        <v/>
      </c>
      <c r="U1130" s="85" t="str">
        <f>IF(ISERROR(FIND('112'!$M$9,G1130,1)),"",IF((AND(LEFT(G1130,2)=LEFT('112'!$M$9,2),B1130&lt;'112'!$K$9,$N1130='112'!$I$6)),"x",""))</f>
        <v/>
      </c>
      <c r="V1130" s="85" t="str">
        <f>IF(ISERROR(FIND('112'!$M$9,G1130,1)),"",IF((AND(RIGHT(G1130,2)=RIGHT('112'!$M$9,2),B1130&lt;'112'!$K$9,$O1130='112'!$I$6)),"x",""))</f>
        <v/>
      </c>
      <c r="W1130" s="85" t="str">
        <f>IF(AND('341-CT'!$H$9=H1130,OR(LEFT(N1130,3)=$W$7,LEFT(O1130,3)=$W$7)),"x","")</f>
        <v/>
      </c>
      <c r="X1130" s="85" t="str">
        <f>IF(OR(TH!N1130=TH!$X$7,O1130=TH!$X$7),"x","")</f>
        <v/>
      </c>
      <c r="Y1130" s="85" t="str">
        <f>IF(AND(OR(N1130="131",O1130="131"),H1130='131-CT'!$H$9),"x","")</f>
        <v/>
      </c>
      <c r="Z1130" s="85"/>
      <c r="AA1130" s="85" t="str">
        <f>IF(AND(MONTH(E1130)='IN-NX'!$J$5,'IN-NX'!$D$7=D1130),"x","")</f>
        <v/>
      </c>
      <c r="AB1130" s="85" t="str">
        <f>IF(AND(OR(LEFT(TH!N1130,2)="15",LEFT(TH!O1130,2)="15"),'152-CT'!$J$8=TH!F1130),"x","")</f>
        <v/>
      </c>
      <c r="AC1130" s="85" t="str">
        <f>IF(AND(OR(LEFT(TH!N1130,2)="15",LEFT(TH!O1130,2)="15"),TK!$E$7=TH!F1130),"x","")</f>
        <v/>
      </c>
      <c r="AD1130" s="85" t="str">
        <f>IF(AND(N1130="1521",MONTH(C1130)='BK-NL'!$M$11),"x","")</f>
        <v/>
      </c>
    </row>
    <row r="1131" spans="1:30" ht="15.75" customHeight="1">
      <c r="A1131" s="342" t="str">
        <f>IF(B1131&lt;&gt;"",IF(AND(B1131='IN-TC'!$S$4,OR(TH!N1131="1111",TH!O1131="1111")),TH!D1131,""),"")</f>
        <v/>
      </c>
      <c r="B1131" s="63">
        <f t="shared" ref="B1130:B1147" si="153">IF(C1131&lt;&gt;"",MONTH(C1131),"")</f>
        <v>6</v>
      </c>
      <c r="C1131" s="64">
        <v>42543</v>
      </c>
      <c r="D1131" s="64"/>
      <c r="E1131" s="64">
        <v>42543</v>
      </c>
      <c r="F1131" s="67" t="s">
        <v>1118</v>
      </c>
      <c r="G1131" s="67" t="s">
        <v>1586</v>
      </c>
      <c r="H1131" s="74" t="s">
        <v>772</v>
      </c>
      <c r="I1131" s="446"/>
      <c r="J1131" s="446"/>
      <c r="K1131" s="437"/>
      <c r="L1131" s="446"/>
      <c r="M1131" s="65">
        <v>1100000</v>
      </c>
      <c r="N1131" s="323" t="s">
        <v>26</v>
      </c>
      <c r="O1131" s="66" t="s">
        <v>63</v>
      </c>
      <c r="P1131" s="85" t="str">
        <f>IF(AND('331-CT'!$E$7=TH!H1131,OR(N1131="331",O1131="331")),"x","")</f>
        <v/>
      </c>
      <c r="Q1131" s="85" t="str">
        <f>IF(AND(B1131='111'!$L$11,OR($N1131=$Q$7,$O1131=$Q$7)),"x","")</f>
        <v/>
      </c>
      <c r="R1131" s="85" t="str">
        <f>IF(AND($N1131=$Q$7,$B1131&lt;'111'!$L$11),"x","")</f>
        <v/>
      </c>
      <c r="S1131" s="85" t="str">
        <f>IF(AND($O1131=$Q$7,$B1131&lt;'111'!$L$11),"x","")</f>
        <v/>
      </c>
      <c r="T1131" s="85" t="str">
        <f>IF(ISERROR(FIND('112'!$M$9,G1131,1)),"",IF((AND(FIND('112'!$M$9,G1131,1)&gt;=1,B1131='112'!$K$9,OR($N1131='112'!$I$6,$O1131='112'!$I$6))),"x",""))</f>
        <v/>
      </c>
      <c r="U1131" s="85" t="str">
        <f>IF(ISERROR(FIND('112'!$M$9,G1131,1)),"",IF((AND(LEFT(G1131,2)=LEFT('112'!$M$9,2),B1131&lt;'112'!$K$9,$N1131='112'!$I$6)),"x",""))</f>
        <v/>
      </c>
      <c r="V1131" s="85" t="str">
        <f>IF(ISERROR(FIND('112'!$M$9,G1131,1)),"",IF((AND(RIGHT(G1131,2)=RIGHT('112'!$M$9,2),B1131&lt;'112'!$K$9,$O1131='112'!$I$6)),"x",""))</f>
        <v/>
      </c>
      <c r="W1131" s="85" t="str">
        <f>IF(AND('341-CT'!$H$9=H1131,OR(LEFT(N1131,3)=$W$7,LEFT(O1131,3)=$W$7)),"x","")</f>
        <v/>
      </c>
      <c r="X1131" s="85" t="str">
        <f>IF(OR(TH!N1131=TH!$X$7,O1131=TH!$X$7),"x","")</f>
        <v/>
      </c>
      <c r="Y1131" s="85" t="str">
        <f>IF(AND(OR(N1131="131",O1131="131"),H1131='131-CT'!$H$9),"x","")</f>
        <v/>
      </c>
      <c r="Z1131" s="85"/>
      <c r="AA1131" s="85" t="str">
        <f>IF(AND(MONTH(E1131)='IN-NX'!$J$5,'IN-NX'!$D$7=D1131),"x","")</f>
        <v/>
      </c>
      <c r="AB1131" s="85" t="str">
        <f>IF(AND(OR(LEFT(TH!N1131,2)="15",LEFT(TH!O1131,2)="15"),'152-CT'!$J$8=TH!F1131),"x","")</f>
        <v/>
      </c>
      <c r="AC1131" s="85" t="str">
        <f>IF(AND(OR(LEFT(TH!N1131,2)="15",LEFT(TH!O1131,2)="15"),TK!$E$7=TH!F1131),"x","")</f>
        <v/>
      </c>
      <c r="AD1131" s="85" t="str">
        <f>IF(AND(N1131="1521",MONTH(C1131)='BK-NL'!$M$11),"x","")</f>
        <v/>
      </c>
    </row>
    <row r="1132" spans="1:30" ht="15.75" customHeight="1">
      <c r="A1132" s="342" t="str">
        <f>IF(B1132&lt;&gt;"",IF(AND(B1132='IN-TC'!$S$4,OR(TH!N1132="1111",TH!O1132="1111")),TH!D1132,""),"")</f>
        <v/>
      </c>
      <c r="B1132" s="63">
        <f t="shared" si="153"/>
        <v>6</v>
      </c>
      <c r="C1132" s="64">
        <v>42544</v>
      </c>
      <c r="D1132" s="320"/>
      <c r="E1132" s="320">
        <v>42544</v>
      </c>
      <c r="F1132" s="67" t="s">
        <v>785</v>
      </c>
      <c r="G1132" s="995" t="s">
        <v>1616</v>
      </c>
      <c r="H1132" s="74" t="s">
        <v>818</v>
      </c>
      <c r="I1132" s="446"/>
      <c r="J1132" s="446"/>
      <c r="K1132" s="437"/>
      <c r="L1132" s="446"/>
      <c r="M1132" s="65">
        <v>858327</v>
      </c>
      <c r="N1132" s="66" t="s">
        <v>101</v>
      </c>
      <c r="O1132" s="66" t="s">
        <v>63</v>
      </c>
      <c r="P1132" s="85" t="str">
        <f>IF(AND('331-CT'!$E$7=TH!H1132,OR(N1132="331",O1132="331")),"x","")</f>
        <v/>
      </c>
      <c r="Q1132" s="85" t="str">
        <f>IF(AND(B1132='111'!$L$11,OR($N1132=$Q$7,$O1132=$Q$7)),"x","")</f>
        <v/>
      </c>
      <c r="R1132" s="85" t="str">
        <f>IF(AND($N1132=$Q$7,$B1132&lt;'111'!$L$11),"x","")</f>
        <v/>
      </c>
      <c r="S1132" s="85" t="str">
        <f>IF(AND($O1132=$Q$7,$B1132&lt;'111'!$L$11),"x","")</f>
        <v/>
      </c>
      <c r="T1132" s="85" t="str">
        <f>IF(ISERROR(FIND('112'!$M$9,G1132,1)),"",IF((AND(FIND('112'!$M$9,G1132,1)&gt;=1,B1132='112'!$K$9,OR($N1132='112'!$I$6,$O1132='112'!$I$6))),"x",""))</f>
        <v/>
      </c>
      <c r="U1132" s="85" t="str">
        <f>IF(ISERROR(FIND('112'!$M$9,G1132,1)),"",IF((AND(LEFT(G1132,2)=LEFT('112'!$M$9,2),B1132&lt;'112'!$K$9,$N1132='112'!$I$6)),"x",""))</f>
        <v/>
      </c>
      <c r="V1132" s="85" t="str">
        <f>IF(ISERROR(FIND('112'!$M$9,G1132,1)),"",IF((AND(RIGHT(G1132,2)=RIGHT('112'!$M$9,2),B1132&lt;'112'!$K$9,$O1132='112'!$I$6)),"x",""))</f>
        <v/>
      </c>
      <c r="W1132" s="85" t="str">
        <f>IF(AND('341-CT'!$H$9=H1132,OR(LEFT(N1132,3)=$W$7,LEFT(O1132,3)=$W$7)),"x","")</f>
        <v/>
      </c>
      <c r="X1132" s="85" t="str">
        <f>IF(OR(TH!N1132=TH!$X$7,O1132=TH!$X$7),"x","")</f>
        <v/>
      </c>
      <c r="Y1132" s="85" t="str">
        <f>IF(AND(OR(N1132="131",O1132="131"),H1132='131-CT'!$H$9),"x","")</f>
        <v/>
      </c>
      <c r="Z1132" s="85"/>
      <c r="AA1132" s="85" t="str">
        <f>IF(AND(MONTH(E1132)='IN-NX'!$J$5,'IN-NX'!$D$7=D1132),"x","")</f>
        <v/>
      </c>
      <c r="AB1132" s="85" t="str">
        <f>IF(AND(OR(LEFT(TH!N1132,2)="15",LEFT(TH!O1132,2)="15"),'152-CT'!$J$8=TH!F1132),"x","")</f>
        <v/>
      </c>
      <c r="AC1132" s="85" t="str">
        <f>IF(AND(OR(LEFT(TH!N1132,2)="15",LEFT(TH!O1132,2)="15"),TK!$E$7=TH!F1132),"x","")</f>
        <v/>
      </c>
      <c r="AD1132" s="85" t="str">
        <f>IF(AND(N1132="1521",MONTH(C1132)='BK-NL'!$M$11),"x","")</f>
        <v/>
      </c>
    </row>
    <row r="1133" spans="1:30" ht="15.75" customHeight="1">
      <c r="A1133" s="342" t="str">
        <f>IF(B1133&lt;&gt;"",IF(AND(B1133='IN-TC'!$S$4,OR(TH!N1133="1111",TH!O1133="1111")),TH!D1133,""),"")</f>
        <v/>
      </c>
      <c r="B1133" s="63">
        <f t="shared" ref="B1133" si="154">IF(C1133&lt;&gt;"",MONTH(C1133),"")</f>
        <v>6</v>
      </c>
      <c r="C1133" s="64">
        <v>42544</v>
      </c>
      <c r="D1133" s="320"/>
      <c r="E1133" s="320">
        <v>42544</v>
      </c>
      <c r="F1133" s="67" t="s">
        <v>786</v>
      </c>
      <c r="G1133" s="995" t="s">
        <v>1616</v>
      </c>
      <c r="H1133" s="74" t="s">
        <v>818</v>
      </c>
      <c r="I1133" s="446"/>
      <c r="J1133" s="446"/>
      <c r="K1133" s="437"/>
      <c r="L1133" s="446"/>
      <c r="M1133" s="65">
        <v>85833</v>
      </c>
      <c r="N1133" s="66" t="s">
        <v>9</v>
      </c>
      <c r="O1133" s="66" t="s">
        <v>63</v>
      </c>
      <c r="P1133" s="85" t="str">
        <f>IF(AND('331-CT'!$E$7=TH!H1133,OR(N1133="331",O1133="331")),"x","")</f>
        <v/>
      </c>
      <c r="Q1133" s="85" t="str">
        <f>IF(AND(B1133='111'!$L$11,OR($N1133=$Q$7,$O1133=$Q$7)),"x","")</f>
        <v/>
      </c>
      <c r="R1133" s="85" t="str">
        <f>IF(AND($N1133=$Q$7,$B1133&lt;'111'!$L$11),"x","")</f>
        <v/>
      </c>
      <c r="S1133" s="85" t="str">
        <f>IF(AND($O1133=$Q$7,$B1133&lt;'111'!$L$11),"x","")</f>
        <v/>
      </c>
      <c r="T1133" s="85" t="str">
        <f>IF(ISERROR(FIND('112'!$M$9,G1133,1)),"",IF((AND(FIND('112'!$M$9,G1133,1)&gt;=1,B1133='112'!$K$9,OR($N1133='112'!$I$6,$O1133='112'!$I$6))),"x",""))</f>
        <v/>
      </c>
      <c r="U1133" s="85" t="str">
        <f>IF(ISERROR(FIND('112'!$M$9,G1133,1)),"",IF((AND(LEFT(G1133,2)=LEFT('112'!$M$9,2),B1133&lt;'112'!$K$9,$N1133='112'!$I$6)),"x",""))</f>
        <v/>
      </c>
      <c r="V1133" s="85" t="str">
        <f>IF(ISERROR(FIND('112'!$M$9,G1133,1)),"",IF((AND(RIGHT(G1133,2)=RIGHT('112'!$M$9,2),B1133&lt;'112'!$K$9,$O1133='112'!$I$6)),"x",""))</f>
        <v/>
      </c>
      <c r="W1133" s="85" t="str">
        <f>IF(AND('341-CT'!$H$9=H1133,OR(LEFT(N1133,3)=$W$7,LEFT(O1133,3)=$W$7)),"x","")</f>
        <v/>
      </c>
      <c r="X1133" s="85" t="str">
        <f>IF(OR(TH!N1133=TH!$X$7,O1133=TH!$X$7),"x","")</f>
        <v/>
      </c>
      <c r="Y1133" s="85" t="str">
        <f>IF(AND(OR(N1133="131",O1133="131"),H1133='131-CT'!$H$9),"x","")</f>
        <v/>
      </c>
      <c r="Z1133" s="85"/>
      <c r="AA1133" s="85" t="str">
        <f>IF(AND(MONTH(E1133)='IN-NX'!$J$5,'IN-NX'!$D$7=D1133),"x","")</f>
        <v/>
      </c>
      <c r="AB1133" s="85" t="str">
        <f>IF(AND(OR(LEFT(TH!N1133,2)="15",LEFT(TH!O1133,2)="15"),'152-CT'!$J$8=TH!F1133),"x","")</f>
        <v/>
      </c>
      <c r="AC1133" s="85" t="str">
        <f>IF(AND(OR(LEFT(TH!N1133,2)="15",LEFT(TH!O1133,2)="15"),TK!$E$7=TH!F1133),"x","")</f>
        <v/>
      </c>
      <c r="AD1133" s="85" t="str">
        <f>IF(AND(N1133="1521",MONTH(C1133)='BK-NL'!$M$11),"x","")</f>
        <v/>
      </c>
    </row>
    <row r="1134" spans="1:30" ht="15.75" customHeight="1">
      <c r="A1134" s="342" t="str">
        <f>IF(B1134&lt;&gt;"",IF(AND(B1134='IN-TC'!$S$4,OR(TH!N1134="1111",TH!O1134="1111")),TH!D1134,""),"")</f>
        <v/>
      </c>
      <c r="B1134" s="63" t="str">
        <f t="shared" si="153"/>
        <v/>
      </c>
      <c r="C1134" s="64"/>
      <c r="D1134" s="64"/>
      <c r="E1134" s="64"/>
      <c r="F1134" s="67"/>
      <c r="G1134" s="995"/>
      <c r="H1134" s="74"/>
      <c r="I1134" s="446"/>
      <c r="J1134" s="446"/>
      <c r="K1134" s="437"/>
      <c r="L1134" s="446"/>
      <c r="M1134" s="65"/>
      <c r="N1134" s="66"/>
      <c r="O1134" s="66"/>
      <c r="P1134" s="85" t="str">
        <f>IF(AND('331-CT'!$E$7=TH!H1134,OR(N1134="331",O1134="331")),"x","")</f>
        <v/>
      </c>
      <c r="Q1134" s="85" t="str">
        <f>IF(AND(B1134='111'!$L$11,OR($N1134=$Q$7,$O1134=$Q$7)),"x","")</f>
        <v/>
      </c>
      <c r="R1134" s="85" t="str">
        <f>IF(AND($N1134=$Q$7,$B1134&lt;'111'!$L$11),"x","")</f>
        <v/>
      </c>
      <c r="S1134" s="85" t="str">
        <f>IF(AND($O1134=$Q$7,$B1134&lt;'111'!$L$11),"x","")</f>
        <v/>
      </c>
      <c r="T1134" s="85" t="str">
        <f>IF(ISERROR(FIND('112'!$M$9,G1134,1)),"",IF((AND(FIND('112'!$M$9,G1134,1)&gt;=1,B1134='112'!$K$9,OR($N1134='112'!$I$6,$O1134='112'!$I$6))),"x",""))</f>
        <v/>
      </c>
      <c r="U1134" s="85" t="str">
        <f>IF(ISERROR(FIND('112'!$M$9,G1134,1)),"",IF((AND(LEFT(G1134,2)=LEFT('112'!$M$9,2),B1134&lt;'112'!$K$9,$N1134='112'!$I$6)),"x",""))</f>
        <v/>
      </c>
      <c r="V1134" s="85" t="str">
        <f>IF(ISERROR(FIND('112'!$M$9,G1134,1)),"",IF((AND(RIGHT(G1134,2)=RIGHT('112'!$M$9,2),B1134&lt;'112'!$K$9,$O1134='112'!$I$6)),"x",""))</f>
        <v/>
      </c>
      <c r="W1134" s="85" t="str">
        <f>IF(AND('341-CT'!$H$9=H1134,OR(LEFT(N1134,3)=$W$7,LEFT(O1134,3)=$W$7)),"x","")</f>
        <v/>
      </c>
      <c r="X1134" s="85" t="str">
        <f>IF(OR(TH!N1134=TH!$X$7,O1134=TH!$X$7),"x","")</f>
        <v/>
      </c>
      <c r="Y1134" s="85" t="str">
        <f>IF(AND(OR(N1134="131",O1134="131"),H1134='131-CT'!$H$9),"x","")</f>
        <v/>
      </c>
      <c r="Z1134" s="85"/>
      <c r="AA1134" s="85" t="str">
        <f>IF(AND(MONTH(E1134)='IN-NX'!$J$5,'IN-NX'!$D$7=D1134),"x","")</f>
        <v/>
      </c>
      <c r="AB1134" s="85" t="str">
        <f>IF(AND(OR(LEFT(TH!N1134,2)="15",LEFT(TH!O1134,2)="15"),'152-CT'!$J$8=TH!F1134),"x","")</f>
        <v/>
      </c>
      <c r="AC1134" s="85" t="str">
        <f>IF(AND(OR(LEFT(TH!N1134,2)="15",LEFT(TH!O1134,2)="15"),TK!$E$7=TH!F1134),"x","")</f>
        <v/>
      </c>
      <c r="AD1134" s="85" t="str">
        <f>IF(AND(N1134="1521",MONTH(C1134)='BK-NL'!$M$11),"x","")</f>
        <v/>
      </c>
    </row>
    <row r="1135" spans="1:30" ht="15.75" customHeight="1">
      <c r="A1135" s="342" t="str">
        <f>IF(B1135&lt;&gt;"",IF(AND(B1135='IN-TC'!$S$4,OR(TH!N1135="1111",TH!O1135="1111")),TH!D1135,""),"")</f>
        <v/>
      </c>
      <c r="B1135" s="63" t="str">
        <f t="shared" si="153"/>
        <v/>
      </c>
      <c r="C1135" s="64"/>
      <c r="D1135" s="64"/>
      <c r="E1135" s="64"/>
      <c r="F1135" s="67"/>
      <c r="G1135" s="67"/>
      <c r="H1135" s="74"/>
      <c r="I1135" s="446"/>
      <c r="J1135" s="446"/>
      <c r="K1135" s="437"/>
      <c r="L1135" s="446"/>
      <c r="M1135" s="65"/>
      <c r="N1135" s="66"/>
      <c r="O1135" s="66"/>
      <c r="P1135" s="85" t="str">
        <f>IF(AND('331-CT'!$E$7=TH!H1135,OR(N1135="331",O1135="331")),"x","")</f>
        <v/>
      </c>
      <c r="Q1135" s="85" t="str">
        <f>IF(AND(B1135='111'!$L$11,OR($N1135=$Q$7,$O1135=$Q$7)),"x","")</f>
        <v/>
      </c>
      <c r="R1135" s="85" t="str">
        <f>IF(AND($N1135=$Q$7,$B1135&lt;'111'!$L$11),"x","")</f>
        <v/>
      </c>
      <c r="S1135" s="85" t="str">
        <f>IF(AND($O1135=$Q$7,$B1135&lt;'111'!$L$11),"x","")</f>
        <v/>
      </c>
      <c r="T1135" s="85" t="str">
        <f>IF(ISERROR(FIND('112'!$M$9,G1135,1)),"",IF((AND(FIND('112'!$M$9,G1135,1)&gt;=1,B1135='112'!$K$9,OR($N1135='112'!$I$6,$O1135='112'!$I$6))),"x",""))</f>
        <v/>
      </c>
      <c r="U1135" s="85" t="str">
        <f>IF(ISERROR(FIND('112'!$M$9,G1135,1)),"",IF((AND(LEFT(G1135,2)=LEFT('112'!$M$9,2),B1135&lt;'112'!$K$9,$N1135='112'!$I$6)),"x",""))</f>
        <v/>
      </c>
      <c r="V1135" s="85" t="str">
        <f>IF(ISERROR(FIND('112'!$M$9,G1135,1)),"",IF((AND(RIGHT(G1135,2)=RIGHT('112'!$M$9,2),B1135&lt;'112'!$K$9,$O1135='112'!$I$6)),"x",""))</f>
        <v/>
      </c>
      <c r="W1135" s="85" t="str">
        <f>IF(AND('341-CT'!$H$9=H1135,OR(LEFT(N1135,3)=$W$7,LEFT(O1135,3)=$W$7)),"x","")</f>
        <v/>
      </c>
      <c r="X1135" s="85" t="str">
        <f>IF(OR(TH!N1135=TH!$X$7,O1135=TH!$X$7),"x","")</f>
        <v/>
      </c>
      <c r="Y1135" s="85" t="str">
        <f>IF(AND(OR(N1135="131",O1135="131"),H1135='131-CT'!$H$9),"x","")</f>
        <v/>
      </c>
      <c r="Z1135" s="85"/>
      <c r="AA1135" s="85" t="str">
        <f>IF(AND(MONTH(E1135)='IN-NX'!$J$5,'IN-NX'!$D$7=D1135),"x","")</f>
        <v/>
      </c>
      <c r="AB1135" s="85" t="str">
        <f>IF(AND(OR(LEFT(TH!N1135,2)="15",LEFT(TH!O1135,2)="15"),'152-CT'!$J$8=TH!F1135),"x","")</f>
        <v/>
      </c>
      <c r="AC1135" s="85" t="str">
        <f>IF(AND(OR(LEFT(TH!N1135,2)="15",LEFT(TH!O1135,2)="15"),TK!$E$7=TH!F1135),"x","")</f>
        <v/>
      </c>
      <c r="AD1135" s="85" t="str">
        <f>IF(AND(N1135="1521",MONTH(C1135)='BK-NL'!$M$11),"x","")</f>
        <v/>
      </c>
    </row>
    <row r="1136" spans="1:30" ht="15.75" customHeight="1">
      <c r="A1136" s="342" t="str">
        <f>IF(B1136&lt;&gt;"",IF(AND(B1136='IN-TC'!$S$4,OR(TH!N1136="1111",TH!O1136="1111")),TH!D1136,""),"")</f>
        <v/>
      </c>
      <c r="B1136" s="63" t="str">
        <f t="shared" si="153"/>
        <v/>
      </c>
      <c r="C1136" s="64"/>
      <c r="D1136" s="64"/>
      <c r="E1136" s="64"/>
      <c r="F1136" s="67"/>
      <c r="G1136" s="67"/>
      <c r="H1136" s="74"/>
      <c r="I1136" s="446"/>
      <c r="J1136" s="446"/>
      <c r="K1136" s="437"/>
      <c r="L1136" s="446"/>
      <c r="M1136" s="65"/>
      <c r="N1136" s="66"/>
      <c r="O1136" s="66"/>
      <c r="P1136" s="85" t="str">
        <f>IF(AND('331-CT'!$E$7=TH!H1136,OR(N1136="331",O1136="331")),"x","")</f>
        <v/>
      </c>
      <c r="Q1136" s="85" t="str">
        <f>IF(AND(B1136='111'!$L$11,OR($N1136=$Q$7,$O1136=$Q$7)),"x","")</f>
        <v/>
      </c>
      <c r="R1136" s="85" t="str">
        <f>IF(AND($N1136=$Q$7,$B1136&lt;'111'!$L$11),"x","")</f>
        <v/>
      </c>
      <c r="S1136" s="85" t="str">
        <f>IF(AND($O1136=$Q$7,$B1136&lt;'111'!$L$11),"x","")</f>
        <v/>
      </c>
      <c r="T1136" s="85" t="str">
        <f>IF(ISERROR(FIND('112'!$M$9,G1136,1)),"",IF((AND(FIND('112'!$M$9,G1136,1)&gt;=1,B1136='112'!$K$9,OR($N1136='112'!$I$6,$O1136='112'!$I$6))),"x",""))</f>
        <v/>
      </c>
      <c r="U1136" s="85" t="str">
        <f>IF(ISERROR(FIND('112'!$M$9,G1136,1)),"",IF((AND(LEFT(G1136,2)=LEFT('112'!$M$9,2),B1136&lt;'112'!$K$9,$N1136='112'!$I$6)),"x",""))</f>
        <v/>
      </c>
      <c r="V1136" s="85" t="str">
        <f>IF(ISERROR(FIND('112'!$M$9,G1136,1)),"",IF((AND(RIGHT(G1136,2)=RIGHT('112'!$M$9,2),B1136&lt;'112'!$K$9,$O1136='112'!$I$6)),"x",""))</f>
        <v/>
      </c>
      <c r="W1136" s="85" t="str">
        <f>IF(AND('341-CT'!$H$9=H1136,OR(LEFT(N1136,3)=$W$7,LEFT(O1136,3)=$W$7)),"x","")</f>
        <v/>
      </c>
      <c r="X1136" s="85" t="str">
        <f>IF(OR(TH!N1136=TH!$X$7,O1136=TH!$X$7),"x","")</f>
        <v/>
      </c>
      <c r="Y1136" s="85" t="str">
        <f>IF(AND(OR(N1136="131",O1136="131"),H1136='131-CT'!$H$9),"x","")</f>
        <v/>
      </c>
      <c r="Z1136" s="85"/>
      <c r="AA1136" s="85" t="str">
        <f>IF(AND(MONTH(E1136)='IN-NX'!$J$5,'IN-NX'!$D$7=D1136),"x","")</f>
        <v/>
      </c>
      <c r="AB1136" s="85" t="str">
        <f>IF(AND(OR(LEFT(TH!N1136,2)="15",LEFT(TH!O1136,2)="15"),'152-CT'!$J$8=TH!F1136),"x","")</f>
        <v/>
      </c>
      <c r="AC1136" s="85" t="str">
        <f>IF(AND(OR(LEFT(TH!N1136,2)="15",LEFT(TH!O1136,2)="15"),TK!$E$7=TH!F1136),"x","")</f>
        <v/>
      </c>
      <c r="AD1136" s="85" t="str">
        <f>IF(AND(N1136="1521",MONTH(C1136)='BK-NL'!$M$11),"x","")</f>
        <v/>
      </c>
    </row>
    <row r="1137" spans="1:30" ht="15.75" customHeight="1">
      <c r="A1137" s="342" t="str">
        <f>IF(B1137&lt;&gt;"",IF(AND(B1137='IN-TC'!$S$4,OR(TH!N1137="1111",TH!O1137="1111")),TH!D1137,""),"")</f>
        <v/>
      </c>
      <c r="B1137" s="63" t="str">
        <f t="shared" si="153"/>
        <v/>
      </c>
      <c r="C1137" s="64"/>
      <c r="D1137" s="64"/>
      <c r="E1137" s="64"/>
      <c r="F1137" s="67"/>
      <c r="G1137" s="67"/>
      <c r="H1137" s="74"/>
      <c r="I1137" s="446"/>
      <c r="J1137" s="446"/>
      <c r="K1137" s="437"/>
      <c r="L1137" s="446"/>
      <c r="M1137" s="65"/>
      <c r="N1137" s="66"/>
      <c r="O1137" s="66"/>
      <c r="P1137" s="85" t="str">
        <f>IF(AND('331-CT'!$E$7=TH!H1137,OR(N1137="331",O1137="331")),"x","")</f>
        <v/>
      </c>
      <c r="Q1137" s="85" t="str">
        <f>IF(AND(B1137='111'!$L$11,OR($N1137=$Q$7,$O1137=$Q$7)),"x","")</f>
        <v/>
      </c>
      <c r="R1137" s="85" t="str">
        <f>IF(AND($N1137=$Q$7,$B1137&lt;'111'!$L$11),"x","")</f>
        <v/>
      </c>
      <c r="S1137" s="85" t="str">
        <f>IF(AND($O1137=$Q$7,$B1137&lt;'111'!$L$11),"x","")</f>
        <v/>
      </c>
      <c r="T1137" s="85" t="str">
        <f>IF(ISERROR(FIND('112'!$M$9,G1137,1)),"",IF((AND(FIND('112'!$M$9,G1137,1)&gt;=1,B1137='112'!$K$9,OR($N1137='112'!$I$6,$O1137='112'!$I$6))),"x",""))</f>
        <v/>
      </c>
      <c r="U1137" s="85" t="str">
        <f>IF(ISERROR(FIND('112'!$M$9,G1137,1)),"",IF((AND(LEFT(G1137,2)=LEFT('112'!$M$9,2),B1137&lt;'112'!$K$9,$N1137='112'!$I$6)),"x",""))</f>
        <v/>
      </c>
      <c r="V1137" s="85" t="str">
        <f>IF(ISERROR(FIND('112'!$M$9,G1137,1)),"",IF((AND(RIGHT(G1137,2)=RIGHT('112'!$M$9,2),B1137&lt;'112'!$K$9,$O1137='112'!$I$6)),"x",""))</f>
        <v/>
      </c>
      <c r="W1137" s="85" t="str">
        <f>IF(AND('341-CT'!$H$9=H1137,OR(LEFT(N1137,3)=$W$7,LEFT(O1137,3)=$W$7)),"x","")</f>
        <v/>
      </c>
      <c r="X1137" s="85" t="str">
        <f>IF(OR(TH!N1137=TH!$X$7,O1137=TH!$X$7),"x","")</f>
        <v/>
      </c>
      <c r="Y1137" s="85" t="str">
        <f>IF(AND(OR(N1137="131",O1137="131"),H1137='131-CT'!$H$9),"x","")</f>
        <v/>
      </c>
      <c r="Z1137" s="85"/>
      <c r="AA1137" s="85" t="str">
        <f>IF(AND(MONTH(E1137)='IN-NX'!$J$5,'IN-NX'!$D$7=D1137),"x","")</f>
        <v/>
      </c>
      <c r="AB1137" s="85" t="str">
        <f>IF(AND(OR(LEFT(TH!N1137,2)="15",LEFT(TH!O1137,2)="15"),'152-CT'!$J$8=TH!F1137),"x","")</f>
        <v/>
      </c>
      <c r="AC1137" s="85" t="str">
        <f>IF(AND(OR(LEFT(TH!N1137,2)="15",LEFT(TH!O1137,2)="15"),TK!$E$7=TH!F1137),"x","")</f>
        <v/>
      </c>
      <c r="AD1137" s="85" t="str">
        <f>IF(AND(N1137="1521",MONTH(C1137)='BK-NL'!$M$11),"x","")</f>
        <v/>
      </c>
    </row>
    <row r="1138" spans="1:30" ht="15.75" customHeight="1">
      <c r="A1138" s="342" t="str">
        <f>IF(B1138&lt;&gt;"",IF(AND(B1138='IN-TC'!$S$4,OR(TH!N1138="1111",TH!O1138="1111")),TH!D1138,""),"")</f>
        <v/>
      </c>
      <c r="B1138" s="63" t="str">
        <f t="shared" si="153"/>
        <v/>
      </c>
      <c r="C1138" s="64"/>
      <c r="D1138" s="64"/>
      <c r="E1138" s="64"/>
      <c r="F1138" s="67"/>
      <c r="G1138" s="67"/>
      <c r="H1138" s="74"/>
      <c r="I1138" s="446"/>
      <c r="J1138" s="446"/>
      <c r="K1138" s="437"/>
      <c r="L1138" s="446"/>
      <c r="M1138" s="65"/>
      <c r="N1138" s="66"/>
      <c r="O1138" s="66"/>
      <c r="P1138" s="85" t="str">
        <f>IF(AND('331-CT'!$E$7=TH!H1138,OR(N1138="331",O1138="331")),"x","")</f>
        <v/>
      </c>
      <c r="Q1138" s="85" t="str">
        <f>IF(AND(B1138='111'!$L$11,OR($N1138=$Q$7,$O1138=$Q$7)),"x","")</f>
        <v/>
      </c>
      <c r="R1138" s="85" t="str">
        <f>IF(AND($N1138=$Q$7,$B1138&lt;'111'!$L$11),"x","")</f>
        <v/>
      </c>
      <c r="S1138" s="85" t="str">
        <f>IF(AND($O1138=$Q$7,$B1138&lt;'111'!$L$11),"x","")</f>
        <v/>
      </c>
      <c r="T1138" s="85" t="str">
        <f>IF(ISERROR(FIND('112'!$M$9,G1138,1)),"",IF((AND(FIND('112'!$M$9,G1138,1)&gt;=1,B1138='112'!$K$9,OR($N1138='112'!$I$6,$O1138='112'!$I$6))),"x",""))</f>
        <v/>
      </c>
      <c r="U1138" s="85" t="str">
        <f>IF(ISERROR(FIND('112'!$M$9,G1138,1)),"",IF((AND(LEFT(G1138,2)=LEFT('112'!$M$9,2),B1138&lt;'112'!$K$9,$N1138='112'!$I$6)),"x",""))</f>
        <v/>
      </c>
      <c r="V1138" s="85" t="str">
        <f>IF(ISERROR(FIND('112'!$M$9,G1138,1)),"",IF((AND(RIGHT(G1138,2)=RIGHT('112'!$M$9,2),B1138&lt;'112'!$K$9,$O1138='112'!$I$6)),"x",""))</f>
        <v/>
      </c>
      <c r="W1138" s="85" t="str">
        <f>IF(AND('341-CT'!$H$9=H1138,OR(LEFT(N1138,3)=$W$7,LEFT(O1138,3)=$W$7)),"x","")</f>
        <v/>
      </c>
      <c r="X1138" s="85" t="str">
        <f>IF(OR(TH!N1138=TH!$X$7,O1138=TH!$X$7),"x","")</f>
        <v/>
      </c>
      <c r="Y1138" s="85" t="str">
        <f>IF(AND(OR(N1138="131",O1138="131"),H1138='131-CT'!$H$9),"x","")</f>
        <v/>
      </c>
      <c r="Z1138" s="85"/>
      <c r="AA1138" s="85" t="str">
        <f>IF(AND(MONTH(E1138)='IN-NX'!$J$5,'IN-NX'!$D$7=D1138),"x","")</f>
        <v/>
      </c>
      <c r="AB1138" s="85" t="str">
        <f>IF(AND(OR(LEFT(TH!N1138,2)="15",LEFT(TH!O1138,2)="15"),'152-CT'!$J$8=TH!F1138),"x","")</f>
        <v/>
      </c>
      <c r="AC1138" s="85" t="str">
        <f>IF(AND(OR(LEFT(TH!N1138,2)="15",LEFT(TH!O1138,2)="15"),TK!$E$7=TH!F1138),"x","")</f>
        <v/>
      </c>
      <c r="AD1138" s="85" t="str">
        <f>IF(AND(N1138="1521",MONTH(C1138)='BK-NL'!$M$11),"x","")</f>
        <v/>
      </c>
    </row>
    <row r="1139" spans="1:30" ht="15.75" customHeight="1">
      <c r="A1139" s="342" t="str">
        <f>IF(B1139&lt;&gt;"",IF(AND(B1139='IN-TC'!$S$4,OR(TH!N1139="1111",TH!O1139="1111")),TH!D1139,""),"")</f>
        <v/>
      </c>
      <c r="B1139" s="63" t="str">
        <f t="shared" si="153"/>
        <v/>
      </c>
      <c r="C1139" s="64"/>
      <c r="D1139" s="64"/>
      <c r="E1139" s="64"/>
      <c r="F1139" s="67"/>
      <c r="G1139" s="67"/>
      <c r="H1139" s="74"/>
      <c r="I1139" s="446"/>
      <c r="J1139" s="446"/>
      <c r="K1139" s="437"/>
      <c r="L1139" s="446"/>
      <c r="M1139" s="65"/>
      <c r="N1139" s="66"/>
      <c r="O1139" s="66"/>
      <c r="P1139" s="85" t="str">
        <f>IF(AND('331-CT'!$E$7=TH!H1139,OR(N1139="331",O1139="331")),"x","")</f>
        <v/>
      </c>
      <c r="Q1139" s="85" t="str">
        <f>IF(AND(B1139='111'!$L$11,OR($N1139=$Q$7,$O1139=$Q$7)),"x","")</f>
        <v/>
      </c>
      <c r="R1139" s="85" t="str">
        <f>IF(AND($N1139=$Q$7,$B1139&lt;'111'!$L$11),"x","")</f>
        <v/>
      </c>
      <c r="S1139" s="85" t="str">
        <f>IF(AND($O1139=$Q$7,$B1139&lt;'111'!$L$11),"x","")</f>
        <v/>
      </c>
      <c r="T1139" s="85" t="str">
        <f>IF(ISERROR(FIND('112'!$M$9,G1139,1)),"",IF((AND(FIND('112'!$M$9,G1139,1)&gt;=1,B1139='112'!$K$9,OR($N1139='112'!$I$6,$O1139='112'!$I$6))),"x",""))</f>
        <v/>
      </c>
      <c r="U1139" s="85" t="str">
        <f>IF(ISERROR(FIND('112'!$M$9,G1139,1)),"",IF((AND(LEFT(G1139,2)=LEFT('112'!$M$9,2),B1139&lt;'112'!$K$9,$N1139='112'!$I$6)),"x",""))</f>
        <v/>
      </c>
      <c r="V1139" s="85" t="str">
        <f>IF(ISERROR(FIND('112'!$M$9,G1139,1)),"",IF((AND(RIGHT(G1139,2)=RIGHT('112'!$M$9,2),B1139&lt;'112'!$K$9,$O1139='112'!$I$6)),"x",""))</f>
        <v/>
      </c>
      <c r="W1139" s="85" t="str">
        <f>IF(AND('341-CT'!$H$9=H1139,OR(LEFT(N1139,3)=$W$7,LEFT(O1139,3)=$W$7)),"x","")</f>
        <v/>
      </c>
      <c r="X1139" s="85" t="str">
        <f>IF(OR(TH!N1139=TH!$X$7,O1139=TH!$X$7),"x","")</f>
        <v/>
      </c>
      <c r="Y1139" s="85" t="str">
        <f>IF(AND(OR(N1139="131",O1139="131"),H1139='131-CT'!$H$9),"x","")</f>
        <v/>
      </c>
      <c r="Z1139" s="85"/>
      <c r="AA1139" s="85" t="str">
        <f>IF(AND(MONTH(E1139)='IN-NX'!$J$5,'IN-NX'!$D$7=D1139),"x","")</f>
        <v/>
      </c>
      <c r="AB1139" s="85" t="str">
        <f>IF(AND(OR(LEFT(TH!N1139,2)="15",LEFT(TH!O1139,2)="15"),'152-CT'!$J$8=TH!F1139),"x","")</f>
        <v/>
      </c>
      <c r="AC1139" s="85" t="str">
        <f>IF(AND(OR(LEFT(TH!N1139,2)="15",LEFT(TH!O1139,2)="15"),TK!$E$7=TH!F1139),"x","")</f>
        <v/>
      </c>
      <c r="AD1139" s="85" t="str">
        <f>IF(AND(N1139="1521",MONTH(C1139)='BK-NL'!$M$11),"x","")</f>
        <v/>
      </c>
    </row>
    <row r="1140" spans="1:30" ht="15.75" customHeight="1">
      <c r="A1140" s="342" t="str">
        <f>IF(B1140&lt;&gt;"",IF(AND(B1140='IN-TC'!$S$4,OR(TH!N1140="1111",TH!O1140="1111")),TH!D1140,""),"")</f>
        <v/>
      </c>
      <c r="B1140" s="63" t="str">
        <f t="shared" si="153"/>
        <v/>
      </c>
      <c r="C1140" s="64"/>
      <c r="D1140" s="64"/>
      <c r="E1140" s="64"/>
      <c r="F1140" s="67"/>
      <c r="G1140" s="67"/>
      <c r="H1140" s="74"/>
      <c r="I1140" s="446"/>
      <c r="J1140" s="446"/>
      <c r="K1140" s="437"/>
      <c r="L1140" s="446"/>
      <c r="M1140" s="65"/>
      <c r="N1140" s="66"/>
      <c r="O1140" s="66"/>
      <c r="P1140" s="85" t="str">
        <f>IF(AND('331-CT'!$E$7=TH!H1140,OR(N1140="331",O1140="331")),"x","")</f>
        <v/>
      </c>
      <c r="Q1140" s="85" t="str">
        <f>IF(AND(B1140='111'!$L$11,OR($N1140=$Q$7,$O1140=$Q$7)),"x","")</f>
        <v/>
      </c>
      <c r="R1140" s="85" t="str">
        <f>IF(AND($N1140=$Q$7,$B1140&lt;'111'!$L$11),"x","")</f>
        <v/>
      </c>
      <c r="S1140" s="85" t="str">
        <f>IF(AND($O1140=$Q$7,$B1140&lt;'111'!$L$11),"x","")</f>
        <v/>
      </c>
      <c r="T1140" s="85" t="str">
        <f>IF(ISERROR(FIND('112'!$M$9,G1140,1)),"",IF((AND(FIND('112'!$M$9,G1140,1)&gt;=1,B1140='112'!$K$9,OR($N1140='112'!$I$6,$O1140='112'!$I$6))),"x",""))</f>
        <v/>
      </c>
      <c r="U1140" s="85" t="str">
        <f>IF(ISERROR(FIND('112'!$M$9,G1140,1)),"",IF((AND(LEFT(G1140,2)=LEFT('112'!$M$9,2),B1140&lt;'112'!$K$9,$N1140='112'!$I$6)),"x",""))</f>
        <v/>
      </c>
      <c r="V1140" s="85" t="str">
        <f>IF(ISERROR(FIND('112'!$M$9,G1140,1)),"",IF((AND(RIGHT(G1140,2)=RIGHT('112'!$M$9,2),B1140&lt;'112'!$K$9,$O1140='112'!$I$6)),"x",""))</f>
        <v/>
      </c>
      <c r="W1140" s="85" t="str">
        <f>IF(AND('341-CT'!$H$9=H1140,OR(LEFT(N1140,3)=$W$7,LEFT(O1140,3)=$W$7)),"x","")</f>
        <v/>
      </c>
      <c r="X1140" s="85" t="str">
        <f>IF(OR(TH!N1140=TH!$X$7,O1140=TH!$X$7),"x","")</f>
        <v/>
      </c>
      <c r="Y1140" s="85" t="str">
        <f>IF(AND(OR(N1140="131",O1140="131"),H1140='131-CT'!$H$9),"x","")</f>
        <v/>
      </c>
      <c r="Z1140" s="85"/>
      <c r="AA1140" s="85" t="str">
        <f>IF(AND(MONTH(E1140)='IN-NX'!$J$5,'IN-NX'!$D$7=D1140),"x","")</f>
        <v/>
      </c>
      <c r="AB1140" s="85" t="str">
        <f>IF(AND(OR(LEFT(TH!N1140,2)="15",LEFT(TH!O1140,2)="15"),'152-CT'!$J$8=TH!F1140),"x","")</f>
        <v/>
      </c>
      <c r="AC1140" s="85" t="str">
        <f>IF(AND(OR(LEFT(TH!N1140,2)="15",LEFT(TH!O1140,2)="15"),TK!$E$7=TH!F1140),"x","")</f>
        <v/>
      </c>
      <c r="AD1140" s="85" t="str">
        <f>IF(AND(N1140="1521",MONTH(C1140)='BK-NL'!$M$11),"x","")</f>
        <v/>
      </c>
    </row>
    <row r="1141" spans="1:30" ht="15.75" customHeight="1">
      <c r="A1141" s="342" t="str">
        <f>IF(B1141&lt;&gt;"",IF(AND(B1141='IN-TC'!$S$4,OR(TH!N1141="1111",TH!O1141="1111")),TH!D1141,""),"")</f>
        <v/>
      </c>
      <c r="B1141" s="63" t="str">
        <f t="shared" si="153"/>
        <v/>
      </c>
      <c r="C1141" s="64"/>
      <c r="D1141" s="64"/>
      <c r="E1141" s="64"/>
      <c r="F1141" s="67"/>
      <c r="G1141" s="67"/>
      <c r="H1141" s="74"/>
      <c r="I1141" s="446"/>
      <c r="J1141" s="446"/>
      <c r="K1141" s="437"/>
      <c r="L1141" s="446"/>
      <c r="M1141" s="65"/>
      <c r="N1141" s="66"/>
      <c r="O1141" s="66"/>
      <c r="P1141" s="85" t="str">
        <f>IF(AND('331-CT'!$E$7=TH!H1141,OR(N1141="331",O1141="331")),"x","")</f>
        <v/>
      </c>
      <c r="Q1141" s="85" t="str">
        <f>IF(AND(B1141='111'!$L$11,OR($N1141=$Q$7,$O1141=$Q$7)),"x","")</f>
        <v/>
      </c>
      <c r="R1141" s="85" t="str">
        <f>IF(AND($N1141=$Q$7,$B1141&lt;'111'!$L$11),"x","")</f>
        <v/>
      </c>
      <c r="S1141" s="85" t="str">
        <f>IF(AND($O1141=$Q$7,$B1141&lt;'111'!$L$11),"x","")</f>
        <v/>
      </c>
      <c r="T1141" s="85" t="str">
        <f>IF(ISERROR(FIND('112'!$M$9,G1141,1)),"",IF((AND(FIND('112'!$M$9,G1141,1)&gt;=1,B1141='112'!$K$9,OR($N1141='112'!$I$6,$O1141='112'!$I$6))),"x",""))</f>
        <v/>
      </c>
      <c r="U1141" s="85" t="str">
        <f>IF(ISERROR(FIND('112'!$M$9,G1141,1)),"",IF((AND(LEFT(G1141,2)=LEFT('112'!$M$9,2),B1141&lt;'112'!$K$9,$N1141='112'!$I$6)),"x",""))</f>
        <v/>
      </c>
      <c r="V1141" s="85" t="str">
        <f>IF(ISERROR(FIND('112'!$M$9,G1141,1)),"",IF((AND(RIGHT(G1141,2)=RIGHT('112'!$M$9,2),B1141&lt;'112'!$K$9,$O1141='112'!$I$6)),"x",""))</f>
        <v/>
      </c>
      <c r="W1141" s="85" t="str">
        <f>IF(AND('341-CT'!$H$9=H1141,OR(LEFT(N1141,3)=$W$7,LEFT(O1141,3)=$W$7)),"x","")</f>
        <v/>
      </c>
      <c r="X1141" s="85" t="str">
        <f>IF(OR(TH!N1141=TH!$X$7,O1141=TH!$X$7),"x","")</f>
        <v/>
      </c>
      <c r="Y1141" s="85" t="str">
        <f>IF(AND(OR(N1141="131",O1141="131"),H1141='131-CT'!$H$9),"x","")</f>
        <v/>
      </c>
      <c r="Z1141" s="85"/>
      <c r="AA1141" s="85" t="str">
        <f>IF(AND(MONTH(E1141)='IN-NX'!$J$5,'IN-NX'!$D$7=D1141),"x","")</f>
        <v/>
      </c>
      <c r="AB1141" s="85" t="str">
        <f>IF(AND(OR(LEFT(TH!N1141,2)="15",LEFT(TH!O1141,2)="15"),'152-CT'!$J$8=TH!F1141),"x","")</f>
        <v/>
      </c>
      <c r="AC1141" s="85" t="str">
        <f>IF(AND(OR(LEFT(TH!N1141,2)="15",LEFT(TH!O1141,2)="15"),TK!$E$7=TH!F1141),"x","")</f>
        <v/>
      </c>
      <c r="AD1141" s="85" t="str">
        <f>IF(AND(N1141="1521",MONTH(C1141)='BK-NL'!$M$11),"x","")</f>
        <v/>
      </c>
    </row>
    <row r="1142" spans="1:30" ht="15.75" customHeight="1">
      <c r="A1142" s="342" t="str">
        <f>IF(B1142&lt;&gt;"",IF(AND(B1142='IN-TC'!$S$4,OR(TH!N1142="1111",TH!O1142="1111")),TH!D1142,""),"")</f>
        <v/>
      </c>
      <c r="B1142" s="63" t="str">
        <f t="shared" si="153"/>
        <v/>
      </c>
      <c r="C1142" s="64"/>
      <c r="D1142" s="64"/>
      <c r="E1142" s="64"/>
      <c r="F1142" s="67"/>
      <c r="G1142" s="67"/>
      <c r="H1142" s="74"/>
      <c r="I1142" s="446"/>
      <c r="J1142" s="446"/>
      <c r="K1142" s="437"/>
      <c r="L1142" s="446"/>
      <c r="M1142" s="65"/>
      <c r="N1142" s="66"/>
      <c r="O1142" s="66"/>
      <c r="P1142" s="85" t="str">
        <f>IF(AND('331-CT'!$E$7=TH!H1142,OR(N1142="331",O1142="331")),"x","")</f>
        <v/>
      </c>
      <c r="Q1142" s="85" t="str">
        <f>IF(AND(B1142='111'!$L$11,OR($N1142=$Q$7,$O1142=$Q$7)),"x","")</f>
        <v/>
      </c>
      <c r="R1142" s="85" t="str">
        <f>IF(AND($N1142=$Q$7,$B1142&lt;'111'!$L$11),"x","")</f>
        <v/>
      </c>
      <c r="S1142" s="85" t="str">
        <f>IF(AND($O1142=$Q$7,$B1142&lt;'111'!$L$11),"x","")</f>
        <v/>
      </c>
      <c r="T1142" s="85" t="str">
        <f>IF(ISERROR(FIND('112'!$M$9,G1142,1)),"",IF((AND(FIND('112'!$M$9,G1142,1)&gt;=1,B1142='112'!$K$9,OR($N1142='112'!$I$6,$O1142='112'!$I$6))),"x",""))</f>
        <v/>
      </c>
      <c r="U1142" s="85" t="str">
        <f>IF(ISERROR(FIND('112'!$M$9,G1142,1)),"",IF((AND(LEFT(G1142,2)=LEFT('112'!$M$9,2),B1142&lt;'112'!$K$9,$N1142='112'!$I$6)),"x",""))</f>
        <v/>
      </c>
      <c r="V1142" s="85" t="str">
        <f>IF(ISERROR(FIND('112'!$M$9,G1142,1)),"",IF((AND(RIGHT(G1142,2)=RIGHT('112'!$M$9,2),B1142&lt;'112'!$K$9,$O1142='112'!$I$6)),"x",""))</f>
        <v/>
      </c>
      <c r="W1142" s="85" t="str">
        <f>IF(AND('341-CT'!$H$9=H1142,OR(LEFT(N1142,3)=$W$7,LEFT(O1142,3)=$W$7)),"x","")</f>
        <v/>
      </c>
      <c r="X1142" s="85" t="str">
        <f>IF(OR(TH!N1142=TH!$X$7,O1142=TH!$X$7),"x","")</f>
        <v/>
      </c>
      <c r="Y1142" s="85" t="str">
        <f>IF(AND(OR(N1142="131",O1142="131"),H1142='131-CT'!$H$9),"x","")</f>
        <v/>
      </c>
      <c r="Z1142" s="85"/>
      <c r="AA1142" s="85" t="str">
        <f>IF(AND(MONTH(E1142)='IN-NX'!$J$5,'IN-NX'!$D$7=D1142),"x","")</f>
        <v/>
      </c>
      <c r="AB1142" s="85" t="str">
        <f>IF(AND(OR(LEFT(TH!N1142,2)="15",LEFT(TH!O1142,2)="15"),'152-CT'!$J$8=TH!F1142),"x","")</f>
        <v/>
      </c>
      <c r="AC1142" s="85" t="str">
        <f>IF(AND(OR(LEFT(TH!N1142,2)="15",LEFT(TH!O1142,2)="15"),TK!$E$7=TH!F1142),"x","")</f>
        <v/>
      </c>
      <c r="AD1142" s="85" t="str">
        <f>IF(AND(N1142="1521",MONTH(C1142)='BK-NL'!$M$11),"x","")</f>
        <v/>
      </c>
    </row>
    <row r="1143" spans="1:30" ht="15.75" customHeight="1">
      <c r="A1143" s="342" t="str">
        <f>IF(B1143&lt;&gt;"",IF(AND(B1143='IN-TC'!$S$4,OR(TH!N1143="1111",TH!O1143="1111")),TH!D1143,""),"")</f>
        <v/>
      </c>
      <c r="B1143" s="63" t="str">
        <f t="shared" si="153"/>
        <v/>
      </c>
      <c r="C1143" s="64"/>
      <c r="D1143" s="64"/>
      <c r="E1143" s="64"/>
      <c r="F1143" s="67"/>
      <c r="G1143" s="67"/>
      <c r="H1143" s="74"/>
      <c r="I1143" s="446"/>
      <c r="J1143" s="446"/>
      <c r="K1143" s="437"/>
      <c r="L1143" s="446"/>
      <c r="M1143" s="65"/>
      <c r="N1143" s="66"/>
      <c r="O1143" s="66"/>
      <c r="P1143" s="85" t="str">
        <f>IF(AND('331-CT'!$E$7=TH!H1143,OR(N1143="331",O1143="331")),"x","")</f>
        <v/>
      </c>
      <c r="Q1143" s="85" t="str">
        <f>IF(AND(B1143='111'!$L$11,OR($N1143=$Q$7,$O1143=$Q$7)),"x","")</f>
        <v/>
      </c>
      <c r="R1143" s="85" t="str">
        <f>IF(AND($N1143=$Q$7,$B1143&lt;'111'!$L$11),"x","")</f>
        <v/>
      </c>
      <c r="S1143" s="85" t="str">
        <f>IF(AND($O1143=$Q$7,$B1143&lt;'111'!$L$11),"x","")</f>
        <v/>
      </c>
      <c r="T1143" s="85" t="str">
        <f>IF(ISERROR(FIND('112'!$M$9,G1143,1)),"",IF((AND(FIND('112'!$M$9,G1143,1)&gt;=1,B1143='112'!$K$9,OR($N1143='112'!$I$6,$O1143='112'!$I$6))),"x",""))</f>
        <v/>
      </c>
      <c r="U1143" s="85" t="str">
        <f>IF(ISERROR(FIND('112'!$M$9,G1143,1)),"",IF((AND(LEFT(G1143,2)=LEFT('112'!$M$9,2),B1143&lt;'112'!$K$9,$N1143='112'!$I$6)),"x",""))</f>
        <v/>
      </c>
      <c r="V1143" s="85" t="str">
        <f>IF(ISERROR(FIND('112'!$M$9,G1143,1)),"",IF((AND(RIGHT(G1143,2)=RIGHT('112'!$M$9,2),B1143&lt;'112'!$K$9,$O1143='112'!$I$6)),"x",""))</f>
        <v/>
      </c>
      <c r="W1143" s="85" t="str">
        <f>IF(AND('341-CT'!$H$9=H1143,OR(LEFT(N1143,3)=$W$7,LEFT(O1143,3)=$W$7)),"x","")</f>
        <v/>
      </c>
      <c r="X1143" s="85" t="str">
        <f>IF(OR(TH!N1143=TH!$X$7,O1143=TH!$X$7),"x","")</f>
        <v/>
      </c>
      <c r="Y1143" s="85" t="str">
        <f>IF(AND(OR(N1143="131",O1143="131"),H1143='131-CT'!$H$9),"x","")</f>
        <v/>
      </c>
      <c r="Z1143" s="85"/>
      <c r="AA1143" s="85" t="str">
        <f>IF(AND(MONTH(E1143)='IN-NX'!$J$5,'IN-NX'!$D$7=D1143),"x","")</f>
        <v/>
      </c>
      <c r="AB1143" s="85" t="str">
        <f>IF(AND(OR(LEFT(TH!N1143,2)="15",LEFT(TH!O1143,2)="15"),'152-CT'!$J$8=TH!F1143),"x","")</f>
        <v/>
      </c>
      <c r="AC1143" s="85" t="str">
        <f>IF(AND(OR(LEFT(TH!N1143,2)="15",LEFT(TH!O1143,2)="15"),TK!$E$7=TH!F1143),"x","")</f>
        <v/>
      </c>
      <c r="AD1143" s="85" t="str">
        <f>IF(AND(N1143="1521",MONTH(C1143)='BK-NL'!$M$11),"x","")</f>
        <v/>
      </c>
    </row>
    <row r="1144" spans="1:30" ht="15.75" customHeight="1">
      <c r="A1144" s="342" t="str">
        <f>IF(B1144&lt;&gt;"",IF(AND(B1144='IN-TC'!$S$4,OR(TH!N1144="1111",TH!O1144="1111")),TH!D1144,""),"")</f>
        <v/>
      </c>
      <c r="B1144" s="63" t="str">
        <f t="shared" si="153"/>
        <v/>
      </c>
      <c r="C1144" s="64"/>
      <c r="D1144" s="64"/>
      <c r="E1144" s="64"/>
      <c r="F1144" s="67"/>
      <c r="G1144" s="67"/>
      <c r="H1144" s="74"/>
      <c r="I1144" s="446"/>
      <c r="J1144" s="446"/>
      <c r="K1144" s="437"/>
      <c r="L1144" s="446"/>
      <c r="M1144" s="65"/>
      <c r="N1144" s="66"/>
      <c r="O1144" s="66"/>
      <c r="P1144" s="85" t="str">
        <f>IF(AND('331-CT'!$E$7=TH!H1144,OR(N1144="331",O1144="331")),"x","")</f>
        <v/>
      </c>
      <c r="Q1144" s="85" t="str">
        <f>IF(AND(B1144='111'!$L$11,OR($N1144=$Q$7,$O1144=$Q$7)),"x","")</f>
        <v/>
      </c>
      <c r="R1144" s="85" t="str">
        <f>IF(AND($N1144=$Q$7,$B1144&lt;'111'!$L$11),"x","")</f>
        <v/>
      </c>
      <c r="S1144" s="85" t="str">
        <f>IF(AND($O1144=$Q$7,$B1144&lt;'111'!$L$11),"x","")</f>
        <v/>
      </c>
      <c r="T1144" s="85" t="str">
        <f>IF(ISERROR(FIND('112'!$M$9,G1144,1)),"",IF((AND(FIND('112'!$M$9,G1144,1)&gt;=1,B1144='112'!$K$9,OR($N1144='112'!$I$6,$O1144='112'!$I$6))),"x",""))</f>
        <v/>
      </c>
      <c r="U1144" s="85" t="str">
        <f>IF(ISERROR(FIND('112'!$M$9,G1144,1)),"",IF((AND(LEFT(G1144,2)=LEFT('112'!$M$9,2),B1144&lt;'112'!$K$9,$N1144='112'!$I$6)),"x",""))</f>
        <v/>
      </c>
      <c r="V1144" s="85" t="str">
        <f>IF(ISERROR(FIND('112'!$M$9,G1144,1)),"",IF((AND(RIGHT(G1144,2)=RIGHT('112'!$M$9,2),B1144&lt;'112'!$K$9,$O1144='112'!$I$6)),"x",""))</f>
        <v/>
      </c>
      <c r="W1144" s="85" t="str">
        <f>IF(AND('341-CT'!$H$9=H1144,OR(LEFT(N1144,3)=$W$7,LEFT(O1144,3)=$W$7)),"x","")</f>
        <v/>
      </c>
      <c r="X1144" s="85" t="str">
        <f>IF(OR(TH!N1144=TH!$X$7,O1144=TH!$X$7),"x","")</f>
        <v/>
      </c>
      <c r="Y1144" s="85" t="str">
        <f>IF(AND(OR(N1144="131",O1144="131"),H1144='131-CT'!$H$9),"x","")</f>
        <v/>
      </c>
      <c r="Z1144" s="85"/>
      <c r="AA1144" s="85" t="str">
        <f>IF(AND(MONTH(E1144)='IN-NX'!$J$5,'IN-NX'!$D$7=D1144),"x","")</f>
        <v/>
      </c>
      <c r="AB1144" s="85" t="str">
        <f>IF(AND(OR(LEFT(TH!N1144,2)="15",LEFT(TH!O1144,2)="15"),'152-CT'!$J$8=TH!F1144),"x","")</f>
        <v/>
      </c>
      <c r="AC1144" s="85" t="str">
        <f>IF(AND(OR(LEFT(TH!N1144,2)="15",LEFT(TH!O1144,2)="15"),TK!$E$7=TH!F1144),"x","")</f>
        <v/>
      </c>
      <c r="AD1144" s="85" t="str">
        <f>IF(AND(N1144="1521",MONTH(C1144)='BK-NL'!$M$11),"x","")</f>
        <v/>
      </c>
    </row>
    <row r="1145" spans="1:30" ht="15.75" customHeight="1">
      <c r="A1145" s="342" t="str">
        <f>IF(B1145&lt;&gt;"",IF(AND(B1145='IN-TC'!$S$4,OR(TH!N1145="1111",TH!O1145="1111")),TH!D1145,""),"")</f>
        <v/>
      </c>
      <c r="B1145" s="63" t="str">
        <f t="shared" si="153"/>
        <v/>
      </c>
      <c r="C1145" s="64"/>
      <c r="D1145" s="64"/>
      <c r="E1145" s="64"/>
      <c r="F1145" s="67"/>
      <c r="G1145" s="67"/>
      <c r="H1145" s="74"/>
      <c r="I1145" s="446"/>
      <c r="J1145" s="446"/>
      <c r="K1145" s="437"/>
      <c r="L1145" s="446"/>
      <c r="M1145" s="65"/>
      <c r="N1145" s="66"/>
      <c r="O1145" s="66"/>
      <c r="P1145" s="85" t="str">
        <f>IF(AND('331-CT'!$E$7=TH!H1145,OR(N1145="331",O1145="331")),"x","")</f>
        <v/>
      </c>
      <c r="Q1145" s="85" t="str">
        <f>IF(AND(B1145='111'!$L$11,OR($N1145=$Q$7,$O1145=$Q$7)),"x","")</f>
        <v/>
      </c>
      <c r="R1145" s="85" t="str">
        <f>IF(AND($N1145=$Q$7,$B1145&lt;'111'!$L$11),"x","")</f>
        <v/>
      </c>
      <c r="S1145" s="85" t="str">
        <f>IF(AND($O1145=$Q$7,$B1145&lt;'111'!$L$11),"x","")</f>
        <v/>
      </c>
      <c r="T1145" s="85" t="str">
        <f>IF(ISERROR(FIND('112'!$M$9,G1145,1)),"",IF((AND(FIND('112'!$M$9,G1145,1)&gt;=1,B1145='112'!$K$9,OR($N1145='112'!$I$6,$O1145='112'!$I$6))),"x",""))</f>
        <v/>
      </c>
      <c r="U1145" s="85" t="str">
        <f>IF(ISERROR(FIND('112'!$M$9,G1145,1)),"",IF((AND(LEFT(G1145,2)=LEFT('112'!$M$9,2),B1145&lt;'112'!$K$9,$N1145='112'!$I$6)),"x",""))</f>
        <v/>
      </c>
      <c r="V1145" s="85" t="str">
        <f>IF(ISERROR(FIND('112'!$M$9,G1145,1)),"",IF((AND(RIGHT(G1145,2)=RIGHT('112'!$M$9,2),B1145&lt;'112'!$K$9,$O1145='112'!$I$6)),"x",""))</f>
        <v/>
      </c>
      <c r="W1145" s="85" t="str">
        <f>IF(AND('341-CT'!$H$9=H1145,OR(LEFT(N1145,3)=$W$7,LEFT(O1145,3)=$W$7)),"x","")</f>
        <v/>
      </c>
      <c r="X1145" s="85" t="str">
        <f>IF(OR(TH!N1145=TH!$X$7,O1145=TH!$X$7),"x","")</f>
        <v/>
      </c>
      <c r="Y1145" s="85" t="str">
        <f>IF(AND(OR(N1145="131",O1145="131"),H1145='131-CT'!$H$9),"x","")</f>
        <v/>
      </c>
      <c r="Z1145" s="85"/>
      <c r="AA1145" s="85" t="str">
        <f>IF(AND(MONTH(E1145)='IN-NX'!$J$5,'IN-NX'!$D$7=D1145),"x","")</f>
        <v/>
      </c>
      <c r="AB1145" s="85" t="str">
        <f>IF(AND(OR(LEFT(TH!N1145,2)="15",LEFT(TH!O1145,2)="15"),'152-CT'!$J$8=TH!F1145),"x","")</f>
        <v/>
      </c>
      <c r="AC1145" s="85" t="str">
        <f>IF(AND(OR(LEFT(TH!N1145,2)="15",LEFT(TH!O1145,2)="15"),TK!$E$7=TH!F1145),"x","")</f>
        <v/>
      </c>
      <c r="AD1145" s="85" t="str">
        <f>IF(AND(N1145="1521",MONTH(C1145)='BK-NL'!$M$11),"x","")</f>
        <v/>
      </c>
    </row>
    <row r="1146" spans="1:30" ht="15.75" customHeight="1">
      <c r="A1146" s="342" t="str">
        <f>IF(B1146&lt;&gt;"",IF(AND(B1146='IN-TC'!$S$4,OR(TH!N1146="1111",TH!O1146="1111")),TH!D1146,""),"")</f>
        <v/>
      </c>
      <c r="B1146" s="63" t="str">
        <f t="shared" si="153"/>
        <v/>
      </c>
      <c r="C1146" s="64"/>
      <c r="D1146" s="64"/>
      <c r="E1146" s="64"/>
      <c r="F1146" s="67"/>
      <c r="G1146" s="67"/>
      <c r="H1146" s="74"/>
      <c r="I1146" s="446"/>
      <c r="J1146" s="446"/>
      <c r="K1146" s="437"/>
      <c r="L1146" s="446"/>
      <c r="M1146" s="65"/>
      <c r="N1146" s="66"/>
      <c r="O1146" s="66"/>
      <c r="P1146" s="85" t="str">
        <f>IF(AND('331-CT'!$E$7=TH!H1146,OR(N1146="331",O1146="331")),"x","")</f>
        <v/>
      </c>
      <c r="Q1146" s="85" t="str">
        <f>IF(AND(B1146='111'!$L$11,OR($N1146=$Q$7,$O1146=$Q$7)),"x","")</f>
        <v/>
      </c>
      <c r="R1146" s="85" t="str">
        <f>IF(AND($N1146=$Q$7,$B1146&lt;'111'!$L$11),"x","")</f>
        <v/>
      </c>
      <c r="S1146" s="85" t="str">
        <f>IF(AND($O1146=$Q$7,$B1146&lt;'111'!$L$11),"x","")</f>
        <v/>
      </c>
      <c r="T1146" s="85" t="str">
        <f>IF(ISERROR(FIND('112'!$M$9,G1146,1)),"",IF((AND(FIND('112'!$M$9,G1146,1)&gt;=1,B1146='112'!$K$9,OR($N1146='112'!$I$6,$O1146='112'!$I$6))),"x",""))</f>
        <v/>
      </c>
      <c r="U1146" s="85" t="str">
        <f>IF(ISERROR(FIND('112'!$M$9,G1146,1)),"",IF((AND(LEFT(G1146,2)=LEFT('112'!$M$9,2),B1146&lt;'112'!$K$9,$N1146='112'!$I$6)),"x",""))</f>
        <v/>
      </c>
      <c r="V1146" s="85" t="str">
        <f>IF(ISERROR(FIND('112'!$M$9,G1146,1)),"",IF((AND(RIGHT(G1146,2)=RIGHT('112'!$M$9,2),B1146&lt;'112'!$K$9,$O1146='112'!$I$6)),"x",""))</f>
        <v/>
      </c>
      <c r="W1146" s="85" t="str">
        <f>IF(AND('341-CT'!$H$9=H1146,OR(LEFT(N1146,3)=$W$7,LEFT(O1146,3)=$W$7)),"x","")</f>
        <v/>
      </c>
      <c r="X1146" s="85" t="str">
        <f>IF(OR(TH!N1146=TH!$X$7,O1146=TH!$X$7),"x","")</f>
        <v/>
      </c>
      <c r="Y1146" s="85" t="str">
        <f>IF(AND(OR(N1146="131",O1146="131"),H1146='131-CT'!$H$9),"x","")</f>
        <v/>
      </c>
      <c r="Z1146" s="85"/>
      <c r="AA1146" s="85" t="str">
        <f>IF(AND(MONTH(E1146)='IN-NX'!$J$5,'IN-NX'!$D$7=D1146),"x","")</f>
        <v/>
      </c>
      <c r="AB1146" s="85" t="str">
        <f>IF(AND(OR(LEFT(TH!N1146,2)="15",LEFT(TH!O1146,2)="15"),'152-CT'!$J$8=TH!F1146),"x","")</f>
        <v/>
      </c>
      <c r="AC1146" s="85" t="str">
        <f>IF(AND(OR(LEFT(TH!N1146,2)="15",LEFT(TH!O1146,2)="15"),TK!$E$7=TH!F1146),"x","")</f>
        <v/>
      </c>
      <c r="AD1146" s="85" t="str">
        <f>IF(AND(N1146="1521",MONTH(C1146)='BK-NL'!$M$11),"x","")</f>
        <v/>
      </c>
    </row>
    <row r="1147" spans="1:30" ht="15.75" customHeight="1">
      <c r="A1147" s="342" t="str">
        <f>IF(B1147&lt;&gt;"",IF(AND(B1147='IN-TC'!$S$4,OR(TH!N1147="1111",TH!O1147="1111")),TH!D1147,""),"")</f>
        <v/>
      </c>
      <c r="B1147" s="63" t="str">
        <f t="shared" si="153"/>
        <v/>
      </c>
      <c r="C1147" s="64"/>
      <c r="D1147" s="64"/>
      <c r="E1147" s="64"/>
      <c r="F1147" s="67"/>
      <c r="G1147" s="67"/>
      <c r="H1147" s="74"/>
      <c r="I1147" s="446"/>
      <c r="J1147" s="446"/>
      <c r="K1147" s="437"/>
      <c r="L1147" s="446"/>
      <c r="M1147" s="65"/>
      <c r="N1147" s="66"/>
      <c r="O1147" s="66"/>
      <c r="P1147" s="85" t="str">
        <f>IF(AND('331-CT'!$E$7=TH!H1147,OR(N1147="331",O1147="331")),"x","")</f>
        <v/>
      </c>
      <c r="Q1147" s="85" t="str">
        <f>IF(AND(B1147='111'!$L$11,OR($N1147=$Q$7,$O1147=$Q$7)),"x","")</f>
        <v/>
      </c>
      <c r="R1147" s="85" t="str">
        <f>IF(AND($N1147=$Q$7,$B1147&lt;'111'!$L$11),"x","")</f>
        <v/>
      </c>
      <c r="S1147" s="85" t="str">
        <f>IF(AND($O1147=$Q$7,$B1147&lt;'111'!$L$11),"x","")</f>
        <v/>
      </c>
      <c r="T1147" s="85" t="str">
        <f>IF(ISERROR(FIND('112'!$M$9,G1147,1)),"",IF((AND(FIND('112'!$M$9,G1147,1)&gt;=1,B1147='112'!$K$9,OR($N1147='112'!$I$6,$O1147='112'!$I$6))),"x",""))</f>
        <v/>
      </c>
      <c r="U1147" s="85" t="str">
        <f>IF(ISERROR(FIND('112'!$M$9,G1147,1)),"",IF((AND(LEFT(G1147,2)=LEFT('112'!$M$9,2),B1147&lt;'112'!$K$9,$N1147='112'!$I$6)),"x",""))</f>
        <v/>
      </c>
      <c r="V1147" s="85" t="str">
        <f>IF(ISERROR(FIND('112'!$M$9,G1147,1)),"",IF((AND(RIGHT(G1147,2)=RIGHT('112'!$M$9,2),B1147&lt;'112'!$K$9,$O1147='112'!$I$6)),"x",""))</f>
        <v/>
      </c>
      <c r="W1147" s="85" t="str">
        <f>IF(AND('341-CT'!$H$9=H1147,OR(LEFT(N1147,3)=$W$7,LEFT(O1147,3)=$W$7)),"x","")</f>
        <v/>
      </c>
      <c r="X1147" s="85" t="str">
        <f>IF(OR(TH!N1147=TH!$X$7,O1147=TH!$X$7),"x","")</f>
        <v/>
      </c>
      <c r="Y1147" s="85" t="str">
        <f>IF(AND(OR(N1147="131",O1147="131"),H1147='131-CT'!$H$9),"x","")</f>
        <v/>
      </c>
      <c r="Z1147" s="85"/>
      <c r="AA1147" s="85" t="str">
        <f>IF(AND(MONTH(E1147)='IN-NX'!$J$5,'IN-NX'!$D$7=D1147),"x","")</f>
        <v/>
      </c>
      <c r="AB1147" s="85" t="str">
        <f>IF(AND(OR(LEFT(TH!N1147,2)="15",LEFT(TH!O1147,2)="15"),'152-CT'!$J$8=TH!F1147),"x","")</f>
        <v/>
      </c>
      <c r="AC1147" s="85" t="str">
        <f>IF(AND(OR(LEFT(TH!N1147,2)="15",LEFT(TH!O1147,2)="15"),TK!$E$7=TH!F1147),"x","")</f>
        <v/>
      </c>
      <c r="AD1147" s="85" t="str">
        <f>IF(AND(N1147="1521",MONTH(C1147)='BK-NL'!$M$11),"x","")</f>
        <v/>
      </c>
    </row>
    <row r="1148" spans="1:30" ht="15.75" customHeight="1">
      <c r="A1148" s="342" t="str">
        <f>IF(B1148&lt;&gt;"",IF(AND(B1148='IN-TC'!$S$4,OR(TH!N1148="1111",TH!O1148="1111")),TH!D1148,""),"")</f>
        <v/>
      </c>
      <c r="B1148" s="63" t="str">
        <f t="shared" si="125"/>
        <v/>
      </c>
      <c r="C1148" s="64"/>
      <c r="D1148" s="64"/>
      <c r="E1148" s="64"/>
      <c r="F1148" s="67"/>
      <c r="G1148" s="995"/>
      <c r="H1148" s="74"/>
      <c r="I1148" s="446"/>
      <c r="J1148" s="446"/>
      <c r="K1148" s="437"/>
      <c r="L1148" s="446"/>
      <c r="M1148" s="65"/>
      <c r="N1148" s="323"/>
      <c r="O1148" s="66"/>
      <c r="P1148" s="85" t="str">
        <f>IF(AND('331-CT'!$E$7=TH!H1148,OR(N1148="331",O1148="331")),"x","")</f>
        <v/>
      </c>
      <c r="Q1148" s="85" t="str">
        <f>IF(AND(B1148='111'!$L$11,OR($N1148=$Q$7,$O1148=$Q$7)),"x","")</f>
        <v/>
      </c>
      <c r="R1148" s="85" t="str">
        <f>IF(AND($N1148=$Q$7,$B1148&lt;'111'!$L$11),"x","")</f>
        <v/>
      </c>
      <c r="S1148" s="85" t="str">
        <f>IF(AND($O1148=$Q$7,$B1148&lt;'111'!$L$11),"x","")</f>
        <v/>
      </c>
      <c r="T1148" s="85" t="str">
        <f>IF(ISERROR(FIND('112'!$M$9,G1148,1)),"",IF((AND(FIND('112'!$M$9,G1148,1)&gt;=1,B1148='112'!$K$9,OR($N1148='112'!$I$6,$O1148='112'!$I$6))),"x",""))</f>
        <v/>
      </c>
      <c r="U1148" s="85" t="str">
        <f>IF(ISERROR(FIND('112'!$M$9,G1148,1)),"",IF((AND(LEFT(G1148,2)=LEFT('112'!$M$9,2),B1148&lt;'112'!$K$9,$N1148='112'!$I$6)),"x",""))</f>
        <v/>
      </c>
      <c r="V1148" s="85" t="str">
        <f>IF(ISERROR(FIND('112'!$M$9,G1148,1)),"",IF((AND(RIGHT(G1148,2)=RIGHT('112'!$M$9,2),B1148&lt;'112'!$K$9,$O1148='112'!$I$6)),"x",""))</f>
        <v/>
      </c>
      <c r="W1148" s="85" t="str">
        <f>IF(AND('341-CT'!$H$9=H1148,OR(LEFT(N1148,3)=$W$7,LEFT(O1148,3)=$W$7)),"x","")</f>
        <v/>
      </c>
      <c r="X1148" s="85" t="str">
        <f>IF(OR(TH!N1148=TH!$X$7,O1148=TH!$X$7),"x","")</f>
        <v/>
      </c>
      <c r="Y1148" s="85" t="str">
        <f>IF(AND(OR(N1148="131",O1148="131"),H1148='131-CT'!$H$9),"x","")</f>
        <v/>
      </c>
      <c r="Z1148" s="85"/>
      <c r="AA1148" s="85" t="str">
        <f>IF(AND(MONTH(E1148)='IN-NX'!$J$5,'IN-NX'!$D$7=D1148),"x","")</f>
        <v/>
      </c>
      <c r="AB1148" s="85" t="str">
        <f>IF(AND(OR(LEFT(TH!N1148,2)="15",LEFT(TH!O1148,2)="15"),'152-CT'!$J$8=TH!F1148),"x","")</f>
        <v/>
      </c>
      <c r="AC1148" s="85" t="str">
        <f>IF(AND(OR(LEFT(TH!N1148,2)="15",LEFT(TH!O1148,2)="15"),TK!$E$7=TH!F1148),"x","")</f>
        <v/>
      </c>
      <c r="AD1148" s="85" t="str">
        <f>IF(AND(N1148="1521",MONTH(C1148)='BK-NL'!$M$11),"x","")</f>
        <v/>
      </c>
    </row>
    <row r="1149" spans="1:30" ht="15.75" customHeight="1">
      <c r="A1149" s="342" t="str">
        <f>IF(B1149&lt;&gt;"",IF(AND(B1149='IN-TC'!$S$4,OR(TH!N1149="1111",TH!O1149="1111")),TH!D1149,""),"")</f>
        <v/>
      </c>
      <c r="B1149" s="63" t="str">
        <f t="shared" si="125"/>
        <v/>
      </c>
      <c r="C1149" s="64"/>
      <c r="D1149" s="64"/>
      <c r="E1149" s="64"/>
      <c r="F1149" s="67"/>
      <c r="G1149" s="995"/>
      <c r="H1149" s="74"/>
      <c r="I1149" s="446"/>
      <c r="J1149" s="446"/>
      <c r="K1149" s="437"/>
      <c r="L1149" s="446"/>
      <c r="M1149" s="65"/>
      <c r="N1149" s="323"/>
      <c r="O1149" s="66"/>
      <c r="P1149" s="85" t="str">
        <f>IF(AND('331-CT'!$E$7=TH!H1149,OR(N1149="331",O1149="331")),"x","")</f>
        <v/>
      </c>
      <c r="Q1149" s="85" t="str">
        <f>IF(AND(B1149='111'!$L$11,OR($N1149=$Q$7,$O1149=$Q$7)),"x","")</f>
        <v/>
      </c>
      <c r="R1149" s="85" t="str">
        <f>IF(AND($N1149=$Q$7,$B1149&lt;'111'!$L$11),"x","")</f>
        <v/>
      </c>
      <c r="S1149" s="85" t="str">
        <f>IF(AND($O1149=$Q$7,$B1149&lt;'111'!$L$11),"x","")</f>
        <v/>
      </c>
      <c r="T1149" s="85" t="str">
        <f>IF(ISERROR(FIND('112'!$M$9,G1149,1)),"",IF((AND(FIND('112'!$M$9,G1149,1)&gt;=1,B1149='112'!$K$9,OR($N1149='112'!$I$6,$O1149='112'!$I$6))),"x",""))</f>
        <v/>
      </c>
      <c r="U1149" s="85" t="str">
        <f>IF(ISERROR(FIND('112'!$M$9,G1149,1)),"",IF((AND(LEFT(G1149,2)=LEFT('112'!$M$9,2),B1149&lt;'112'!$K$9,$N1149='112'!$I$6)),"x",""))</f>
        <v/>
      </c>
      <c r="V1149" s="85" t="str">
        <f>IF(ISERROR(FIND('112'!$M$9,G1149,1)),"",IF((AND(RIGHT(G1149,2)=RIGHT('112'!$M$9,2),B1149&lt;'112'!$K$9,$O1149='112'!$I$6)),"x",""))</f>
        <v/>
      </c>
      <c r="W1149" s="85" t="str">
        <f>IF(AND('341-CT'!$H$9=H1149,OR(LEFT(N1149,3)=$W$7,LEFT(O1149,3)=$W$7)),"x","")</f>
        <v/>
      </c>
      <c r="X1149" s="85" t="str">
        <f>IF(OR(TH!N1149=TH!$X$7,O1149=TH!$X$7),"x","")</f>
        <v/>
      </c>
      <c r="Y1149" s="85" t="str">
        <f>IF(AND(OR(N1149="131",O1149="131"),H1149='131-CT'!$H$9),"x","")</f>
        <v/>
      </c>
      <c r="Z1149" s="85"/>
      <c r="AA1149" s="85" t="str">
        <f>IF(AND(MONTH(E1149)='IN-NX'!$J$5,'IN-NX'!$D$7=D1149),"x","")</f>
        <v/>
      </c>
      <c r="AB1149" s="85" t="str">
        <f>IF(AND(OR(LEFT(TH!N1149,2)="15",LEFT(TH!O1149,2)="15"),'152-CT'!$J$8=TH!F1149),"x","")</f>
        <v/>
      </c>
      <c r="AC1149" s="85" t="str">
        <f>IF(AND(OR(LEFT(TH!N1149,2)="15",LEFT(TH!O1149,2)="15"),TK!$E$7=TH!F1149),"x","")</f>
        <v/>
      </c>
      <c r="AD1149" s="85" t="str">
        <f>IF(AND(N1149="1521",MONTH(C1149)='BK-NL'!$M$11),"x","")</f>
        <v/>
      </c>
    </row>
    <row r="1150" spans="1:30" ht="15.75" customHeight="1">
      <c r="A1150" s="342" t="str">
        <f>IF(B1150&lt;&gt;"",IF(AND(B1150='IN-TC'!$S$4,OR(TH!N1150="1111",TH!O1150="1111")),TH!D1150,""),"")</f>
        <v/>
      </c>
      <c r="B1150" s="63" t="str">
        <f t="shared" si="125"/>
        <v/>
      </c>
      <c r="C1150" s="64"/>
      <c r="D1150" s="320"/>
      <c r="E1150" s="320"/>
      <c r="F1150" s="67"/>
      <c r="G1150" s="67"/>
      <c r="H1150" s="74"/>
      <c r="I1150" s="446"/>
      <c r="J1150" s="446"/>
      <c r="K1150" s="437"/>
      <c r="L1150" s="446"/>
      <c r="M1150" s="65"/>
      <c r="N1150" s="66"/>
      <c r="O1150" s="66"/>
      <c r="P1150" s="85" t="str">
        <f>IF(AND('331-CT'!$E$7=TH!H1150,OR(N1150="331",O1150="331")),"x","")</f>
        <v/>
      </c>
      <c r="Q1150" s="85" t="str">
        <f>IF(AND(B1150='111'!$L$11,OR($N1150=$Q$7,$O1150=$Q$7)),"x","")</f>
        <v/>
      </c>
      <c r="R1150" s="85" t="str">
        <f>IF(AND($N1150=$Q$7,$B1150&lt;'111'!$L$11),"x","")</f>
        <v/>
      </c>
      <c r="S1150" s="85" t="str">
        <f>IF(AND($O1150=$Q$7,$B1150&lt;'111'!$L$11),"x","")</f>
        <v/>
      </c>
      <c r="T1150" s="85" t="str">
        <f>IF(ISERROR(FIND('112'!$M$9,G1150,1)),"",IF((AND(FIND('112'!$M$9,G1150,1)&gt;=1,B1150='112'!$K$9,OR($N1150='112'!$I$6,$O1150='112'!$I$6))),"x",""))</f>
        <v/>
      </c>
      <c r="U1150" s="85" t="str">
        <f>IF(ISERROR(FIND('112'!$M$9,G1150,1)),"",IF((AND(LEFT(G1150,2)=LEFT('112'!$M$9,2),B1150&lt;'112'!$K$9,$N1150='112'!$I$6)),"x",""))</f>
        <v/>
      </c>
      <c r="V1150" s="85" t="str">
        <f>IF(ISERROR(FIND('112'!$M$9,G1150,1)),"",IF((AND(RIGHT(G1150,2)=RIGHT('112'!$M$9,2),B1150&lt;'112'!$K$9,$O1150='112'!$I$6)),"x",""))</f>
        <v/>
      </c>
      <c r="W1150" s="85" t="str">
        <f>IF(AND('341-CT'!$H$9=H1150,OR(LEFT(N1150,3)=$W$7,LEFT(O1150,3)=$W$7)),"x","")</f>
        <v/>
      </c>
      <c r="X1150" s="85" t="str">
        <f>IF(OR(TH!N1150=TH!$X$7,O1150=TH!$X$7),"x","")</f>
        <v/>
      </c>
      <c r="Y1150" s="85" t="str">
        <f>IF(AND(OR(N1150="131",O1150="131"),H1150='131-CT'!$H$9),"x","")</f>
        <v/>
      </c>
      <c r="Z1150" s="85"/>
      <c r="AA1150" s="85" t="str">
        <f>IF(AND(MONTH(E1150)='IN-NX'!$J$5,'IN-NX'!$D$7=D1150),"x","")</f>
        <v/>
      </c>
      <c r="AB1150" s="85" t="str">
        <f>IF(AND(OR(LEFT(TH!N1150,2)="15",LEFT(TH!O1150,2)="15"),'152-CT'!$J$8=TH!F1150),"x","")</f>
        <v/>
      </c>
      <c r="AC1150" s="85" t="str">
        <f>IF(AND(OR(LEFT(TH!N1150,2)="15",LEFT(TH!O1150,2)="15"),TK!$E$7=TH!F1150),"x","")</f>
        <v/>
      </c>
      <c r="AD1150" s="85" t="str">
        <f>IF(AND(N1150="1521",MONTH(C1150)='BK-NL'!$M$11),"x","")</f>
        <v/>
      </c>
    </row>
    <row r="1151" spans="1:30" ht="15.75" customHeight="1">
      <c r="A1151" s="342" t="str">
        <f>IF(B1151&lt;&gt;"",IF(AND(B1151='IN-TC'!$S$4,OR(TH!N1151="1111",TH!O1151="1111")),TH!D1151,""),"")</f>
        <v/>
      </c>
      <c r="B1151" s="63" t="str">
        <f t="shared" si="125"/>
        <v/>
      </c>
      <c r="C1151" s="64"/>
      <c r="D1151" s="64"/>
      <c r="E1151" s="64"/>
      <c r="F1151" s="67"/>
      <c r="G1151" s="995"/>
      <c r="H1151" s="74"/>
      <c r="I1151" s="446"/>
      <c r="J1151" s="446"/>
      <c r="K1151" s="437"/>
      <c r="L1151" s="446"/>
      <c r="M1151" s="65"/>
      <c r="N1151" s="66"/>
      <c r="O1151" s="66"/>
      <c r="P1151" s="85" t="str">
        <f>IF(AND('331-CT'!$E$7=TH!H1151,OR(N1151="331",O1151="331")),"x","")</f>
        <v/>
      </c>
      <c r="Q1151" s="85" t="str">
        <f>IF(AND(B1151='111'!$L$11,OR($N1151=$Q$7,$O1151=$Q$7)),"x","")</f>
        <v/>
      </c>
      <c r="R1151" s="85" t="str">
        <f>IF(AND($N1151=$Q$7,$B1151&lt;'111'!$L$11),"x","")</f>
        <v/>
      </c>
      <c r="S1151" s="85" t="str">
        <f>IF(AND($O1151=$Q$7,$B1151&lt;'111'!$L$11),"x","")</f>
        <v/>
      </c>
      <c r="T1151" s="85" t="str">
        <f>IF(ISERROR(FIND('112'!$M$9,G1151,1)),"",IF((AND(FIND('112'!$M$9,G1151,1)&gt;=1,B1151='112'!$K$9,OR($N1151='112'!$I$6,$O1151='112'!$I$6))),"x",""))</f>
        <v/>
      </c>
      <c r="U1151" s="85" t="str">
        <f>IF(ISERROR(FIND('112'!$M$9,G1151,1)),"",IF((AND(LEFT(G1151,2)=LEFT('112'!$M$9,2),B1151&lt;'112'!$K$9,$N1151='112'!$I$6)),"x",""))</f>
        <v/>
      </c>
      <c r="V1151" s="85" t="str">
        <f>IF(ISERROR(FIND('112'!$M$9,G1151,1)),"",IF((AND(RIGHT(G1151,2)=RIGHT('112'!$M$9,2),B1151&lt;'112'!$K$9,$O1151='112'!$I$6)),"x",""))</f>
        <v/>
      </c>
      <c r="W1151" s="85" t="str">
        <f>IF(AND('341-CT'!$H$9=H1151,OR(LEFT(N1151,3)=$W$7,LEFT(O1151,3)=$W$7)),"x","")</f>
        <v/>
      </c>
      <c r="X1151" s="85" t="str">
        <f>IF(OR(TH!N1151=TH!$X$7,O1151=TH!$X$7),"x","")</f>
        <v/>
      </c>
      <c r="Y1151" s="85" t="str">
        <f>IF(AND(OR(N1151="131",O1151="131"),H1151='131-CT'!$H$9),"x","")</f>
        <v/>
      </c>
      <c r="Z1151" s="85"/>
      <c r="AA1151" s="85" t="str">
        <f>IF(AND(MONTH(E1151)='IN-NX'!$J$5,'IN-NX'!$D$7=D1151),"x","")</f>
        <v/>
      </c>
      <c r="AB1151" s="85" t="str">
        <f>IF(AND(OR(LEFT(TH!N1151,2)="15",LEFT(TH!O1151,2)="15"),'152-CT'!$J$8=TH!F1151),"x","")</f>
        <v/>
      </c>
      <c r="AC1151" s="85" t="str">
        <f>IF(AND(OR(LEFT(TH!N1151,2)="15",LEFT(TH!O1151,2)="15"),TK!$E$7=TH!F1151),"x","")</f>
        <v/>
      </c>
      <c r="AD1151" s="85" t="str">
        <f>IF(AND(N1151="1521",MONTH(C1151)='BK-NL'!$M$11),"x","")</f>
        <v/>
      </c>
    </row>
    <row r="1152" spans="1:30" ht="15.75" customHeight="1">
      <c r="A1152" s="342" t="str">
        <f>IF(B1152&lt;&gt;"",IF(AND(B1152='IN-TC'!$S$4,OR(TH!N1152="1111",TH!O1152="1111")),TH!D1152,""),"")</f>
        <v/>
      </c>
      <c r="B1152" s="63" t="str">
        <f t="shared" si="125"/>
        <v/>
      </c>
      <c r="C1152" s="64"/>
      <c r="D1152" s="64"/>
      <c r="E1152" s="64"/>
      <c r="F1152" s="67"/>
      <c r="G1152" s="995"/>
      <c r="H1152" s="74"/>
      <c r="I1152" s="446"/>
      <c r="J1152" s="446"/>
      <c r="K1152" s="437"/>
      <c r="L1152" s="446"/>
      <c r="M1152" s="65"/>
      <c r="N1152" s="66"/>
      <c r="O1152" s="66"/>
      <c r="P1152" s="85" t="str">
        <f>IF(AND('331-CT'!$E$7=TH!H1152,OR(N1152="331",O1152="331")),"x","")</f>
        <v/>
      </c>
      <c r="Q1152" s="85" t="str">
        <f>IF(AND(B1152='111'!$L$11,OR($N1152=$Q$7,$O1152=$Q$7)),"x","")</f>
        <v/>
      </c>
      <c r="R1152" s="85" t="str">
        <f>IF(AND($N1152=$Q$7,$B1152&lt;'111'!$L$11),"x","")</f>
        <v/>
      </c>
      <c r="S1152" s="85" t="str">
        <f>IF(AND($O1152=$Q$7,$B1152&lt;'111'!$L$11),"x","")</f>
        <v/>
      </c>
      <c r="T1152" s="85" t="str">
        <f>IF(ISERROR(FIND('112'!$M$9,G1152,1)),"",IF((AND(FIND('112'!$M$9,G1152,1)&gt;=1,B1152='112'!$K$9,OR($N1152='112'!$I$6,$O1152='112'!$I$6))),"x",""))</f>
        <v/>
      </c>
      <c r="U1152" s="85" t="str">
        <f>IF(ISERROR(FIND('112'!$M$9,G1152,1)),"",IF((AND(LEFT(G1152,2)=LEFT('112'!$M$9,2),B1152&lt;'112'!$K$9,$N1152='112'!$I$6)),"x",""))</f>
        <v/>
      </c>
      <c r="V1152" s="85" t="str">
        <f>IF(ISERROR(FIND('112'!$M$9,G1152,1)),"",IF((AND(RIGHT(G1152,2)=RIGHT('112'!$M$9,2),B1152&lt;'112'!$K$9,$O1152='112'!$I$6)),"x",""))</f>
        <v/>
      </c>
      <c r="W1152" s="85" t="str">
        <f>IF(AND('341-CT'!$H$9=H1152,OR(LEFT(N1152,3)=$W$7,LEFT(O1152,3)=$W$7)),"x","")</f>
        <v/>
      </c>
      <c r="X1152" s="85" t="str">
        <f>IF(OR(TH!N1152=TH!$X$7,O1152=TH!$X$7),"x","")</f>
        <v/>
      </c>
      <c r="Y1152" s="85" t="str">
        <f>IF(AND(OR(N1152="131",O1152="131"),H1152='131-CT'!$H$9),"x","")</f>
        <v/>
      </c>
      <c r="Z1152" s="85"/>
      <c r="AA1152" s="85" t="str">
        <f>IF(AND(MONTH(E1152)='IN-NX'!$J$5,'IN-NX'!$D$7=D1152),"x","")</f>
        <v/>
      </c>
      <c r="AB1152" s="85" t="str">
        <f>IF(AND(OR(LEFT(TH!N1152,2)="15",LEFT(TH!O1152,2)="15"),'152-CT'!$J$8=TH!F1152),"x","")</f>
        <v/>
      </c>
      <c r="AC1152" s="85" t="str">
        <f>IF(AND(OR(LEFT(TH!N1152,2)="15",LEFT(TH!O1152,2)="15"),TK!$E$7=TH!F1152),"x","")</f>
        <v/>
      </c>
      <c r="AD1152" s="85" t="str">
        <f>IF(AND(N1152="1521",MONTH(C1152)='BK-NL'!$M$11),"x","")</f>
        <v/>
      </c>
    </row>
    <row r="1153" spans="1:30" ht="15.75" customHeight="1">
      <c r="A1153" s="342" t="str">
        <f>IF(B1153&lt;&gt;"",IF(AND(B1153='IN-TC'!$S$4,OR(TH!N1153="1111",TH!O1153="1111")),TH!D1153,""),"")</f>
        <v/>
      </c>
      <c r="B1153" s="63" t="str">
        <f t="shared" si="125"/>
        <v/>
      </c>
      <c r="C1153" s="64"/>
      <c r="D1153" s="64"/>
      <c r="E1153" s="64"/>
      <c r="F1153" s="67"/>
      <c r="G1153" s="67"/>
      <c r="H1153" s="74"/>
      <c r="I1153" s="446"/>
      <c r="J1153" s="446"/>
      <c r="K1153" s="437"/>
      <c r="L1153" s="446"/>
      <c r="M1153" s="65"/>
      <c r="N1153" s="66"/>
      <c r="O1153" s="66"/>
      <c r="P1153" s="85" t="str">
        <f>IF(AND('331-CT'!$E$7=TH!H1153,OR(N1153="331",O1153="331")),"x","")</f>
        <v/>
      </c>
      <c r="Q1153" s="85" t="str">
        <f>IF(AND(B1153='111'!$L$11,OR($N1153=$Q$7,$O1153=$Q$7)),"x","")</f>
        <v/>
      </c>
      <c r="R1153" s="85" t="str">
        <f>IF(AND($N1153=$Q$7,$B1153&lt;'111'!$L$11),"x","")</f>
        <v/>
      </c>
      <c r="S1153" s="85" t="str">
        <f>IF(AND($O1153=$Q$7,$B1153&lt;'111'!$L$11),"x","")</f>
        <v/>
      </c>
      <c r="T1153" s="85" t="str">
        <f>IF(ISERROR(FIND('112'!$M$9,G1153,1)),"",IF((AND(FIND('112'!$M$9,G1153,1)&gt;=1,B1153='112'!$K$9,OR($N1153='112'!$I$6,$O1153='112'!$I$6))),"x",""))</f>
        <v/>
      </c>
      <c r="U1153" s="85" t="str">
        <f>IF(ISERROR(FIND('112'!$M$9,G1153,1)),"",IF((AND(LEFT(G1153,2)=LEFT('112'!$M$9,2),B1153&lt;'112'!$K$9,$N1153='112'!$I$6)),"x",""))</f>
        <v/>
      </c>
      <c r="V1153" s="85" t="str">
        <f>IF(ISERROR(FIND('112'!$M$9,G1153,1)),"",IF((AND(RIGHT(G1153,2)=RIGHT('112'!$M$9,2),B1153&lt;'112'!$K$9,$O1153='112'!$I$6)),"x",""))</f>
        <v/>
      </c>
      <c r="W1153" s="85" t="str">
        <f>IF(AND('341-CT'!$H$9=H1153,OR(LEFT(N1153,3)=$W$7,LEFT(O1153,3)=$W$7)),"x","")</f>
        <v/>
      </c>
      <c r="X1153" s="85" t="str">
        <f>IF(OR(TH!N1153=TH!$X$7,O1153=TH!$X$7),"x","")</f>
        <v/>
      </c>
      <c r="Y1153" s="85" t="str">
        <f>IF(AND(OR(N1153="131",O1153="131"),H1153='131-CT'!$H$9),"x","")</f>
        <v/>
      </c>
      <c r="Z1153" s="85"/>
      <c r="AA1153" s="85" t="str">
        <f>IF(AND(MONTH(E1153)='IN-NX'!$J$5,'IN-NX'!$D$7=D1153),"x","")</f>
        <v/>
      </c>
      <c r="AB1153" s="85" t="str">
        <f>IF(AND(OR(LEFT(TH!N1153,2)="15",LEFT(TH!O1153,2)="15"),'152-CT'!$J$8=TH!F1153),"x","")</f>
        <v/>
      </c>
      <c r="AC1153" s="85" t="str">
        <f>IF(AND(OR(LEFT(TH!N1153,2)="15",LEFT(TH!O1153,2)="15"),TK!$E$7=TH!F1153),"x","")</f>
        <v/>
      </c>
      <c r="AD1153" s="85" t="str">
        <f>IF(AND(N1153="1521",MONTH(C1153)='BK-NL'!$M$11),"x","")</f>
        <v/>
      </c>
    </row>
    <row r="1154" spans="1:30" ht="15.75" customHeight="1">
      <c r="A1154" s="342" t="str">
        <f>IF(B1154&lt;&gt;"",IF(AND(B1154='IN-TC'!$S$4,OR(TH!N1154="1111",TH!O1154="1111")),TH!D1154,""),"")</f>
        <v/>
      </c>
      <c r="B1154" s="63" t="str">
        <f t="shared" si="125"/>
        <v/>
      </c>
      <c r="C1154" s="64"/>
      <c r="D1154" s="64"/>
      <c r="E1154" s="64"/>
      <c r="F1154" s="67"/>
      <c r="G1154" s="67"/>
      <c r="H1154" s="74"/>
      <c r="I1154" s="446"/>
      <c r="J1154" s="446"/>
      <c r="K1154" s="437"/>
      <c r="L1154" s="446"/>
      <c r="M1154" s="65"/>
      <c r="N1154" s="66"/>
      <c r="O1154" s="66"/>
      <c r="P1154" s="85" t="str">
        <f>IF(AND('331-CT'!$E$7=TH!H1154,OR(N1154="331",O1154="331")),"x","")</f>
        <v/>
      </c>
      <c r="Q1154" s="85" t="str">
        <f>IF(AND(B1154='111'!$L$11,OR($N1154=$Q$7,$O1154=$Q$7)),"x","")</f>
        <v/>
      </c>
      <c r="R1154" s="85" t="str">
        <f>IF(AND($N1154=$Q$7,$B1154&lt;'111'!$L$11),"x","")</f>
        <v/>
      </c>
      <c r="S1154" s="85" t="str">
        <f>IF(AND($O1154=$Q$7,$B1154&lt;'111'!$L$11),"x","")</f>
        <v/>
      </c>
      <c r="T1154" s="85" t="str">
        <f>IF(ISERROR(FIND('112'!$M$9,G1154,1)),"",IF((AND(FIND('112'!$M$9,G1154,1)&gt;=1,B1154='112'!$K$9,OR($N1154='112'!$I$6,$O1154='112'!$I$6))),"x",""))</f>
        <v/>
      </c>
      <c r="U1154" s="85" t="str">
        <f>IF(ISERROR(FIND('112'!$M$9,G1154,1)),"",IF((AND(LEFT(G1154,2)=LEFT('112'!$M$9,2),B1154&lt;'112'!$K$9,$N1154='112'!$I$6)),"x",""))</f>
        <v/>
      </c>
      <c r="V1154" s="85" t="str">
        <f>IF(ISERROR(FIND('112'!$M$9,G1154,1)),"",IF((AND(RIGHT(G1154,2)=RIGHT('112'!$M$9,2),B1154&lt;'112'!$K$9,$O1154='112'!$I$6)),"x",""))</f>
        <v/>
      </c>
      <c r="W1154" s="85" t="str">
        <f>IF(AND('341-CT'!$H$9=H1154,OR(LEFT(N1154,3)=$W$7,LEFT(O1154,3)=$W$7)),"x","")</f>
        <v/>
      </c>
      <c r="X1154" s="85" t="str">
        <f>IF(OR(TH!N1154=TH!$X$7,O1154=TH!$X$7),"x","")</f>
        <v/>
      </c>
      <c r="Y1154" s="85" t="str">
        <f>IF(AND(OR(N1154="131",O1154="131"),H1154='131-CT'!$H$9),"x","")</f>
        <v/>
      </c>
      <c r="Z1154" s="85"/>
      <c r="AA1154" s="85" t="str">
        <f>IF(AND(MONTH(E1154)='IN-NX'!$J$5,'IN-NX'!$D$7=D1154),"x","")</f>
        <v/>
      </c>
      <c r="AB1154" s="85" t="str">
        <f>IF(AND(OR(LEFT(TH!N1154,2)="15",LEFT(TH!O1154,2)="15"),'152-CT'!$J$8=TH!F1154),"x","")</f>
        <v/>
      </c>
      <c r="AC1154" s="85" t="str">
        <f>IF(AND(OR(LEFT(TH!N1154,2)="15",LEFT(TH!O1154,2)="15"),TK!$E$7=TH!F1154),"x","")</f>
        <v/>
      </c>
      <c r="AD1154" s="85" t="str">
        <f>IF(AND(N1154="1521",MONTH(C1154)='BK-NL'!$M$11),"x","")</f>
        <v/>
      </c>
    </row>
    <row r="1155" spans="1:30" ht="15.75" customHeight="1">
      <c r="A1155" s="342" t="str">
        <f>IF(B1155&lt;&gt;"",IF(AND(B1155='IN-TC'!$S$4,OR(TH!N1155="1111",TH!O1155="1111")),TH!D1155,""),"")</f>
        <v/>
      </c>
      <c r="B1155" s="63" t="str">
        <f t="shared" si="125"/>
        <v/>
      </c>
      <c r="C1155" s="64"/>
      <c r="D1155" s="64"/>
      <c r="E1155" s="64"/>
      <c r="F1155" s="67"/>
      <c r="G1155" s="67"/>
      <c r="H1155" s="74"/>
      <c r="I1155" s="446"/>
      <c r="J1155" s="446"/>
      <c r="K1155" s="437"/>
      <c r="L1155" s="446"/>
      <c r="M1155" s="65"/>
      <c r="N1155" s="66"/>
      <c r="O1155" s="66"/>
      <c r="P1155" s="85" t="str">
        <f>IF(AND('331-CT'!$E$7=TH!H1155,OR(N1155="331",O1155="331")),"x","")</f>
        <v/>
      </c>
      <c r="Q1155" s="85" t="str">
        <f>IF(AND(B1155='111'!$L$11,OR($N1155=$Q$7,$O1155=$Q$7)),"x","")</f>
        <v/>
      </c>
      <c r="R1155" s="85" t="str">
        <f>IF(AND($N1155=$Q$7,$B1155&lt;'111'!$L$11),"x","")</f>
        <v/>
      </c>
      <c r="S1155" s="85" t="str">
        <f>IF(AND($O1155=$Q$7,$B1155&lt;'111'!$L$11),"x","")</f>
        <v/>
      </c>
      <c r="T1155" s="85" t="str">
        <f>IF(ISERROR(FIND('112'!$M$9,G1155,1)),"",IF((AND(FIND('112'!$M$9,G1155,1)&gt;=1,B1155='112'!$K$9,OR($N1155='112'!$I$6,$O1155='112'!$I$6))),"x",""))</f>
        <v/>
      </c>
      <c r="U1155" s="85" t="str">
        <f>IF(ISERROR(FIND('112'!$M$9,G1155,1)),"",IF((AND(LEFT(G1155,2)=LEFT('112'!$M$9,2),B1155&lt;'112'!$K$9,$N1155='112'!$I$6)),"x",""))</f>
        <v/>
      </c>
      <c r="V1155" s="85" t="str">
        <f>IF(ISERROR(FIND('112'!$M$9,G1155,1)),"",IF((AND(RIGHT(G1155,2)=RIGHT('112'!$M$9,2),B1155&lt;'112'!$K$9,$O1155='112'!$I$6)),"x",""))</f>
        <v/>
      </c>
      <c r="W1155" s="85" t="str">
        <f>IF(AND('341-CT'!$H$9=H1155,OR(LEFT(N1155,3)=$W$7,LEFT(O1155,3)=$W$7)),"x","")</f>
        <v/>
      </c>
      <c r="X1155" s="85" t="str">
        <f>IF(OR(TH!N1155=TH!$X$7,O1155=TH!$X$7),"x","")</f>
        <v/>
      </c>
      <c r="Y1155" s="85" t="str">
        <f>IF(AND(OR(N1155="131",O1155="131"),H1155='131-CT'!$H$9),"x","")</f>
        <v/>
      </c>
      <c r="Z1155" s="85"/>
      <c r="AA1155" s="85" t="str">
        <f>IF(AND(MONTH(E1155)='IN-NX'!$J$5,'IN-NX'!$D$7=D1155),"x","")</f>
        <v/>
      </c>
      <c r="AB1155" s="85" t="str">
        <f>IF(AND(OR(LEFT(TH!N1155,2)="15",LEFT(TH!O1155,2)="15"),'152-CT'!$J$8=TH!F1155),"x","")</f>
        <v/>
      </c>
      <c r="AC1155" s="85" t="str">
        <f>IF(AND(OR(LEFT(TH!N1155,2)="15",LEFT(TH!O1155,2)="15"),TK!$E$7=TH!F1155),"x","")</f>
        <v/>
      </c>
      <c r="AD1155" s="85" t="str">
        <f>IF(AND(N1155="1521",MONTH(C1155)='BK-NL'!$M$11),"x","")</f>
        <v/>
      </c>
    </row>
    <row r="1156" spans="1:30" ht="15.75" customHeight="1">
      <c r="A1156" s="342" t="str">
        <f>IF(B1156&lt;&gt;"",IF(AND(B1156='IN-TC'!$S$4,OR(TH!N1156="1111",TH!O1156="1111")),TH!D1156,""),"")</f>
        <v/>
      </c>
      <c r="B1156" s="63" t="str">
        <f t="shared" si="125"/>
        <v/>
      </c>
      <c r="C1156" s="64"/>
      <c r="D1156" s="64"/>
      <c r="E1156" s="64"/>
      <c r="F1156" s="67"/>
      <c r="G1156" s="67"/>
      <c r="H1156" s="74"/>
      <c r="I1156" s="446"/>
      <c r="J1156" s="446"/>
      <c r="K1156" s="437"/>
      <c r="L1156" s="446"/>
      <c r="M1156" s="65"/>
      <c r="N1156" s="66"/>
      <c r="O1156" s="66"/>
      <c r="P1156" s="85" t="str">
        <f>IF(AND('331-CT'!$E$7=TH!H1156,OR(N1156="331",O1156="331")),"x","")</f>
        <v/>
      </c>
      <c r="Q1156" s="85" t="str">
        <f>IF(AND(B1156='111'!$L$11,OR($N1156=$Q$7,$O1156=$Q$7)),"x","")</f>
        <v/>
      </c>
      <c r="R1156" s="85" t="str">
        <f>IF(AND($N1156=$Q$7,$B1156&lt;'111'!$L$11),"x","")</f>
        <v/>
      </c>
      <c r="S1156" s="85" t="str">
        <f>IF(AND($O1156=$Q$7,$B1156&lt;'111'!$L$11),"x","")</f>
        <v/>
      </c>
      <c r="T1156" s="85" t="str">
        <f>IF(ISERROR(FIND('112'!$M$9,G1156,1)),"",IF((AND(FIND('112'!$M$9,G1156,1)&gt;=1,B1156='112'!$K$9,OR($N1156='112'!$I$6,$O1156='112'!$I$6))),"x",""))</f>
        <v/>
      </c>
      <c r="U1156" s="85" t="str">
        <f>IF(ISERROR(FIND('112'!$M$9,G1156,1)),"",IF((AND(LEFT(G1156,2)=LEFT('112'!$M$9,2),B1156&lt;'112'!$K$9,$N1156='112'!$I$6)),"x",""))</f>
        <v/>
      </c>
      <c r="V1156" s="85" t="str">
        <f>IF(ISERROR(FIND('112'!$M$9,G1156,1)),"",IF((AND(RIGHT(G1156,2)=RIGHT('112'!$M$9,2),B1156&lt;'112'!$K$9,$O1156='112'!$I$6)),"x",""))</f>
        <v/>
      </c>
      <c r="W1156" s="85" t="str">
        <f>IF(AND('341-CT'!$H$9=H1156,OR(LEFT(N1156,3)=$W$7,LEFT(O1156,3)=$W$7)),"x","")</f>
        <v/>
      </c>
      <c r="X1156" s="85" t="str">
        <f>IF(OR(TH!N1156=TH!$X$7,O1156=TH!$X$7),"x","")</f>
        <v/>
      </c>
      <c r="Y1156" s="85" t="str">
        <f>IF(AND(OR(N1156="131",O1156="131"),H1156='131-CT'!$H$9),"x","")</f>
        <v/>
      </c>
      <c r="Z1156" s="85"/>
      <c r="AA1156" s="85" t="str">
        <f>IF(AND(MONTH(E1156)='IN-NX'!$J$5,'IN-NX'!$D$7=D1156),"x","")</f>
        <v/>
      </c>
      <c r="AB1156" s="85" t="str">
        <f>IF(AND(OR(LEFT(TH!N1156,2)="15",LEFT(TH!O1156,2)="15"),'152-CT'!$J$8=TH!F1156),"x","")</f>
        <v/>
      </c>
      <c r="AC1156" s="85" t="str">
        <f>IF(AND(OR(LEFT(TH!N1156,2)="15",LEFT(TH!O1156,2)="15"),TK!$E$7=TH!F1156),"x","")</f>
        <v/>
      </c>
      <c r="AD1156" s="85" t="str">
        <f>IF(AND(N1156="1521",MONTH(C1156)='BK-NL'!$M$11),"x","")</f>
        <v/>
      </c>
    </row>
    <row r="1157" spans="1:30" ht="15.75" customHeight="1">
      <c r="A1157" s="342" t="str">
        <f>IF(B1157&lt;&gt;"",IF(AND(B1157='IN-TC'!$S$4,OR(TH!N1157="1111",TH!O1157="1111")),TH!D1157,""),"")</f>
        <v/>
      </c>
      <c r="B1157" s="63" t="str">
        <f t="shared" si="125"/>
        <v/>
      </c>
      <c r="C1157" s="64"/>
      <c r="D1157" s="64"/>
      <c r="E1157" s="64"/>
      <c r="F1157" s="67"/>
      <c r="G1157" s="67"/>
      <c r="H1157" s="74"/>
      <c r="I1157" s="446"/>
      <c r="J1157" s="446"/>
      <c r="K1157" s="437"/>
      <c r="L1157" s="446"/>
      <c r="M1157" s="65"/>
      <c r="N1157" s="66"/>
      <c r="O1157" s="66"/>
      <c r="P1157" s="85" t="str">
        <f>IF(AND('331-CT'!$E$7=TH!H1157,OR(N1157="331",O1157="331")),"x","")</f>
        <v/>
      </c>
      <c r="Q1157" s="85" t="str">
        <f>IF(AND(B1157='111'!$L$11,OR($N1157=$Q$7,$O1157=$Q$7)),"x","")</f>
        <v/>
      </c>
      <c r="R1157" s="85" t="str">
        <f>IF(AND($N1157=$Q$7,$B1157&lt;'111'!$L$11),"x","")</f>
        <v/>
      </c>
      <c r="S1157" s="85" t="str">
        <f>IF(AND($O1157=$Q$7,$B1157&lt;'111'!$L$11),"x","")</f>
        <v/>
      </c>
      <c r="T1157" s="85" t="str">
        <f>IF(ISERROR(FIND('112'!$M$9,G1157,1)),"",IF((AND(FIND('112'!$M$9,G1157,1)&gt;=1,B1157='112'!$K$9,OR($N1157='112'!$I$6,$O1157='112'!$I$6))),"x",""))</f>
        <v/>
      </c>
      <c r="U1157" s="85" t="str">
        <f>IF(ISERROR(FIND('112'!$M$9,G1157,1)),"",IF((AND(LEFT(G1157,2)=LEFT('112'!$M$9,2),B1157&lt;'112'!$K$9,$N1157='112'!$I$6)),"x",""))</f>
        <v/>
      </c>
      <c r="V1157" s="85" t="str">
        <f>IF(ISERROR(FIND('112'!$M$9,G1157,1)),"",IF((AND(RIGHT(G1157,2)=RIGHT('112'!$M$9,2),B1157&lt;'112'!$K$9,$O1157='112'!$I$6)),"x",""))</f>
        <v/>
      </c>
      <c r="W1157" s="85" t="str">
        <f>IF(AND('341-CT'!$H$9=H1157,OR(LEFT(N1157,3)=$W$7,LEFT(O1157,3)=$W$7)),"x","")</f>
        <v/>
      </c>
      <c r="X1157" s="85" t="str">
        <f>IF(OR(TH!N1157=TH!$X$7,O1157=TH!$X$7),"x","")</f>
        <v/>
      </c>
      <c r="Y1157" s="85" t="str">
        <f>IF(AND(OR(N1157="131",O1157="131"),H1157='131-CT'!$H$9),"x","")</f>
        <v/>
      </c>
      <c r="Z1157" s="85"/>
      <c r="AA1157" s="85" t="str">
        <f>IF(AND(MONTH(E1157)='IN-NX'!$J$5,'IN-NX'!$D$7=D1157),"x","")</f>
        <v/>
      </c>
      <c r="AB1157" s="85" t="str">
        <f>IF(AND(OR(LEFT(TH!N1157,2)="15",LEFT(TH!O1157,2)="15"),'152-CT'!$J$8=TH!F1157),"x","")</f>
        <v/>
      </c>
      <c r="AC1157" s="85" t="str">
        <f>IF(AND(OR(LEFT(TH!N1157,2)="15",LEFT(TH!O1157,2)="15"),TK!$E$7=TH!F1157),"x","")</f>
        <v/>
      </c>
      <c r="AD1157" s="85" t="str">
        <f>IF(AND(N1157="1521",MONTH(C1157)='BK-NL'!$M$11),"x","")</f>
        <v/>
      </c>
    </row>
    <row r="1158" spans="1:30" ht="15.75" customHeight="1">
      <c r="A1158" s="342" t="str">
        <f>IF(B1158&lt;&gt;"",IF(AND(B1158='IN-TC'!$S$4,OR(TH!N1158="1111",TH!O1158="1111")),TH!D1158,""),"")</f>
        <v/>
      </c>
      <c r="B1158" s="63" t="str">
        <f t="shared" si="125"/>
        <v/>
      </c>
      <c r="C1158" s="64"/>
      <c r="D1158" s="64"/>
      <c r="E1158" s="64"/>
      <c r="F1158" s="67"/>
      <c r="G1158" s="67"/>
      <c r="H1158" s="74"/>
      <c r="I1158" s="446"/>
      <c r="J1158" s="446"/>
      <c r="K1158" s="437"/>
      <c r="L1158" s="446"/>
      <c r="M1158" s="65"/>
      <c r="N1158" s="66"/>
      <c r="O1158" s="66"/>
      <c r="P1158" s="85" t="str">
        <f>IF(AND('331-CT'!$E$7=TH!H1158,OR(N1158="331",O1158="331")),"x","")</f>
        <v/>
      </c>
      <c r="Q1158" s="85" t="str">
        <f>IF(AND(B1158='111'!$L$11,OR($N1158=$Q$7,$O1158=$Q$7)),"x","")</f>
        <v/>
      </c>
      <c r="R1158" s="85" t="str">
        <f>IF(AND($N1158=$Q$7,$B1158&lt;'111'!$L$11),"x","")</f>
        <v/>
      </c>
      <c r="S1158" s="85" t="str">
        <f>IF(AND($O1158=$Q$7,$B1158&lt;'111'!$L$11),"x","")</f>
        <v/>
      </c>
      <c r="T1158" s="85" t="str">
        <f>IF(ISERROR(FIND('112'!$M$9,G1158,1)),"",IF((AND(FIND('112'!$M$9,G1158,1)&gt;=1,B1158='112'!$K$9,OR($N1158='112'!$I$6,$O1158='112'!$I$6))),"x",""))</f>
        <v/>
      </c>
      <c r="U1158" s="85" t="str">
        <f>IF(ISERROR(FIND('112'!$M$9,G1158,1)),"",IF((AND(LEFT(G1158,2)=LEFT('112'!$M$9,2),B1158&lt;'112'!$K$9,$N1158='112'!$I$6)),"x",""))</f>
        <v/>
      </c>
      <c r="V1158" s="85" t="str">
        <f>IF(ISERROR(FIND('112'!$M$9,G1158,1)),"",IF((AND(RIGHT(G1158,2)=RIGHT('112'!$M$9,2),B1158&lt;'112'!$K$9,$O1158='112'!$I$6)),"x",""))</f>
        <v/>
      </c>
      <c r="W1158" s="85" t="str">
        <f>IF(AND('341-CT'!$H$9=H1158,OR(LEFT(N1158,3)=$W$7,LEFT(O1158,3)=$W$7)),"x","")</f>
        <v/>
      </c>
      <c r="X1158" s="85" t="str">
        <f>IF(OR(TH!N1158=TH!$X$7,O1158=TH!$X$7),"x","")</f>
        <v/>
      </c>
      <c r="Y1158" s="85" t="str">
        <f>IF(AND(OR(N1158="131",O1158="131"),H1158='131-CT'!$H$9),"x","")</f>
        <v/>
      </c>
      <c r="Z1158" s="85"/>
      <c r="AA1158" s="85" t="str">
        <f>IF(AND(MONTH(E1158)='IN-NX'!$J$5,'IN-NX'!$D$7=D1158),"x","")</f>
        <v/>
      </c>
      <c r="AB1158" s="85" t="str">
        <f>IF(AND(OR(LEFT(TH!N1158,2)="15",LEFT(TH!O1158,2)="15"),'152-CT'!$J$8=TH!F1158),"x","")</f>
        <v/>
      </c>
      <c r="AC1158" s="85" t="str">
        <f>IF(AND(OR(LEFT(TH!N1158,2)="15",LEFT(TH!O1158,2)="15"),TK!$E$7=TH!F1158),"x","")</f>
        <v/>
      </c>
      <c r="AD1158" s="85" t="str">
        <f>IF(AND(N1158="1521",MONTH(C1158)='BK-NL'!$M$11),"x","")</f>
        <v/>
      </c>
    </row>
    <row r="1159" spans="1:30" ht="15.75" customHeight="1">
      <c r="A1159" s="342" t="str">
        <f>IF(B1159&lt;&gt;"",IF(AND(B1159='IN-TC'!$S$4,OR(TH!N1159="1111",TH!O1159="1111")),TH!D1159,""),"")</f>
        <v/>
      </c>
      <c r="B1159" s="63" t="str">
        <f t="shared" si="125"/>
        <v/>
      </c>
      <c r="C1159" s="64"/>
      <c r="D1159" s="64"/>
      <c r="E1159" s="64"/>
      <c r="F1159" s="67"/>
      <c r="G1159" s="67"/>
      <c r="H1159" s="74"/>
      <c r="I1159" s="446"/>
      <c r="J1159" s="446"/>
      <c r="K1159" s="437"/>
      <c r="L1159" s="446"/>
      <c r="M1159" s="65"/>
      <c r="N1159" s="66"/>
      <c r="O1159" s="66"/>
      <c r="P1159" s="85" t="str">
        <f>IF(AND('331-CT'!$E$7=TH!H1159,OR(N1159="331",O1159="331")),"x","")</f>
        <v/>
      </c>
      <c r="Q1159" s="85" t="str">
        <f>IF(AND(B1159='111'!$L$11,OR($N1159=$Q$7,$O1159=$Q$7)),"x","")</f>
        <v/>
      </c>
      <c r="R1159" s="85" t="str">
        <f>IF(AND($N1159=$Q$7,$B1159&lt;'111'!$L$11),"x","")</f>
        <v/>
      </c>
      <c r="S1159" s="85" t="str">
        <f>IF(AND($O1159=$Q$7,$B1159&lt;'111'!$L$11),"x","")</f>
        <v/>
      </c>
      <c r="T1159" s="85" t="str">
        <f>IF(ISERROR(FIND('112'!$M$9,G1159,1)),"",IF((AND(FIND('112'!$M$9,G1159,1)&gt;=1,B1159='112'!$K$9,OR($N1159='112'!$I$6,$O1159='112'!$I$6))),"x",""))</f>
        <v/>
      </c>
      <c r="U1159" s="85" t="str">
        <f>IF(ISERROR(FIND('112'!$M$9,G1159,1)),"",IF((AND(LEFT(G1159,2)=LEFT('112'!$M$9,2),B1159&lt;'112'!$K$9,$N1159='112'!$I$6)),"x",""))</f>
        <v/>
      </c>
      <c r="V1159" s="85" t="str">
        <f>IF(ISERROR(FIND('112'!$M$9,G1159,1)),"",IF((AND(RIGHT(G1159,2)=RIGHT('112'!$M$9,2),B1159&lt;'112'!$K$9,$O1159='112'!$I$6)),"x",""))</f>
        <v/>
      </c>
      <c r="W1159" s="85" t="str">
        <f>IF(AND('341-CT'!$H$9=H1159,OR(LEFT(N1159,3)=$W$7,LEFT(O1159,3)=$W$7)),"x","")</f>
        <v/>
      </c>
      <c r="X1159" s="85" t="str">
        <f>IF(OR(TH!N1159=TH!$X$7,O1159=TH!$X$7),"x","")</f>
        <v/>
      </c>
      <c r="Y1159" s="85" t="str">
        <f>IF(AND(OR(N1159="131",O1159="131"),H1159='131-CT'!$H$9),"x","")</f>
        <v/>
      </c>
      <c r="Z1159" s="85"/>
      <c r="AA1159" s="85" t="str">
        <f>IF(AND(MONTH(E1159)='IN-NX'!$J$5,'IN-NX'!$D$7=D1159),"x","")</f>
        <v/>
      </c>
      <c r="AB1159" s="85" t="str">
        <f>IF(AND(OR(LEFT(TH!N1159,2)="15",LEFT(TH!O1159,2)="15"),'152-CT'!$J$8=TH!F1159),"x","")</f>
        <v/>
      </c>
      <c r="AC1159" s="85" t="str">
        <f>IF(AND(OR(LEFT(TH!N1159,2)="15",LEFT(TH!O1159,2)="15"),TK!$E$7=TH!F1159),"x","")</f>
        <v/>
      </c>
      <c r="AD1159" s="85" t="str">
        <f>IF(AND(N1159="1521",MONTH(C1159)='BK-NL'!$M$11),"x","")</f>
        <v/>
      </c>
    </row>
    <row r="1160" spans="1:30" ht="15.75" customHeight="1">
      <c r="A1160" s="342" t="str">
        <f>IF(B1160&lt;&gt;"",IF(AND(B1160='IN-TC'!$S$4,OR(TH!N1160="1111",TH!O1160="1111")),TH!D1160,""),"")</f>
        <v/>
      </c>
      <c r="B1160" s="63" t="str">
        <f t="shared" si="125"/>
        <v/>
      </c>
      <c r="C1160" s="64"/>
      <c r="D1160" s="64"/>
      <c r="E1160" s="64"/>
      <c r="F1160" s="67"/>
      <c r="G1160" s="67"/>
      <c r="H1160" s="74"/>
      <c r="I1160" s="446"/>
      <c r="J1160" s="446"/>
      <c r="K1160" s="437"/>
      <c r="L1160" s="446"/>
      <c r="M1160" s="65"/>
      <c r="N1160" s="66"/>
      <c r="O1160" s="66"/>
      <c r="P1160" s="85" t="str">
        <f>IF(AND('331-CT'!$E$7=TH!H1160,OR(N1160="331",O1160="331")),"x","")</f>
        <v/>
      </c>
      <c r="Q1160" s="85" t="str">
        <f>IF(AND(B1160='111'!$L$11,OR($N1160=$Q$7,$O1160=$Q$7)),"x","")</f>
        <v/>
      </c>
      <c r="R1160" s="85" t="str">
        <f>IF(AND($N1160=$Q$7,$B1160&lt;'111'!$L$11),"x","")</f>
        <v/>
      </c>
      <c r="S1160" s="85" t="str">
        <f>IF(AND($O1160=$Q$7,$B1160&lt;'111'!$L$11),"x","")</f>
        <v/>
      </c>
      <c r="T1160" s="85" t="str">
        <f>IF(ISERROR(FIND('112'!$M$9,G1160,1)),"",IF((AND(FIND('112'!$M$9,G1160,1)&gt;=1,B1160='112'!$K$9,OR($N1160='112'!$I$6,$O1160='112'!$I$6))),"x",""))</f>
        <v/>
      </c>
      <c r="U1160" s="85" t="str">
        <f>IF(ISERROR(FIND('112'!$M$9,G1160,1)),"",IF((AND(LEFT(G1160,2)=LEFT('112'!$M$9,2),B1160&lt;'112'!$K$9,$N1160='112'!$I$6)),"x",""))</f>
        <v/>
      </c>
      <c r="V1160" s="85" t="str">
        <f>IF(ISERROR(FIND('112'!$M$9,G1160,1)),"",IF((AND(RIGHT(G1160,2)=RIGHT('112'!$M$9,2),B1160&lt;'112'!$K$9,$O1160='112'!$I$6)),"x",""))</f>
        <v/>
      </c>
      <c r="W1160" s="85" t="str">
        <f>IF(AND('341-CT'!$H$9=H1160,OR(LEFT(N1160,3)=$W$7,LEFT(O1160,3)=$W$7)),"x","")</f>
        <v/>
      </c>
      <c r="X1160" s="85" t="str">
        <f>IF(OR(TH!N1160=TH!$X$7,O1160=TH!$X$7),"x","")</f>
        <v/>
      </c>
      <c r="Y1160" s="85" t="str">
        <f>IF(AND(OR(N1160="131",O1160="131"),H1160='131-CT'!$H$9),"x","")</f>
        <v/>
      </c>
      <c r="Z1160" s="85"/>
      <c r="AA1160" s="85" t="str">
        <f>IF(AND(MONTH(E1160)='IN-NX'!$J$5,'IN-NX'!$D$7=D1160),"x","")</f>
        <v/>
      </c>
      <c r="AB1160" s="85" t="str">
        <f>IF(AND(OR(LEFT(TH!N1160,2)="15",LEFT(TH!O1160,2)="15"),'152-CT'!$J$8=TH!F1160),"x","")</f>
        <v/>
      </c>
      <c r="AC1160" s="85" t="str">
        <f>IF(AND(OR(LEFT(TH!N1160,2)="15",LEFT(TH!O1160,2)="15"),TK!$E$7=TH!F1160),"x","")</f>
        <v/>
      </c>
      <c r="AD1160" s="85" t="str">
        <f>IF(AND(N1160="1521",MONTH(C1160)='BK-NL'!$M$11),"x","")</f>
        <v/>
      </c>
    </row>
    <row r="1161" spans="1:30" ht="15.75" customHeight="1">
      <c r="A1161" s="342" t="str">
        <f>IF(B1161&lt;&gt;"",IF(AND(B1161='IN-TC'!$S$4,OR(TH!N1161="1111",TH!O1161="1111")),TH!D1161,""),"")</f>
        <v/>
      </c>
      <c r="B1161" s="63" t="str">
        <f t="shared" si="125"/>
        <v/>
      </c>
      <c r="C1161" s="64"/>
      <c r="D1161" s="64"/>
      <c r="E1161" s="64"/>
      <c r="F1161" s="67"/>
      <c r="G1161" s="67"/>
      <c r="H1161" s="74"/>
      <c r="I1161" s="446"/>
      <c r="J1161" s="446"/>
      <c r="K1161" s="437"/>
      <c r="L1161" s="446"/>
      <c r="M1161" s="65"/>
      <c r="N1161" s="66"/>
      <c r="O1161" s="66"/>
      <c r="P1161" s="85" t="str">
        <f>IF(AND('331-CT'!$E$7=TH!H1161,OR(N1161="331",O1161="331")),"x","")</f>
        <v/>
      </c>
      <c r="Q1161" s="85" t="str">
        <f>IF(AND(B1161='111'!$L$11,OR($N1161=$Q$7,$O1161=$Q$7)),"x","")</f>
        <v/>
      </c>
      <c r="R1161" s="85" t="str">
        <f>IF(AND($N1161=$Q$7,$B1161&lt;'111'!$L$11),"x","")</f>
        <v/>
      </c>
      <c r="S1161" s="85" t="str">
        <f>IF(AND($O1161=$Q$7,$B1161&lt;'111'!$L$11),"x","")</f>
        <v/>
      </c>
      <c r="T1161" s="85" t="str">
        <f>IF(ISERROR(FIND('112'!$M$9,G1161,1)),"",IF((AND(FIND('112'!$M$9,G1161,1)&gt;=1,B1161='112'!$K$9,OR($N1161='112'!$I$6,$O1161='112'!$I$6))),"x",""))</f>
        <v/>
      </c>
      <c r="U1161" s="85" t="str">
        <f>IF(ISERROR(FIND('112'!$M$9,G1161,1)),"",IF((AND(LEFT(G1161,2)=LEFT('112'!$M$9,2),B1161&lt;'112'!$K$9,$N1161='112'!$I$6)),"x",""))</f>
        <v/>
      </c>
      <c r="V1161" s="85" t="str">
        <f>IF(ISERROR(FIND('112'!$M$9,G1161,1)),"",IF((AND(RIGHT(G1161,2)=RIGHT('112'!$M$9,2),B1161&lt;'112'!$K$9,$O1161='112'!$I$6)),"x",""))</f>
        <v/>
      </c>
      <c r="W1161" s="85" t="str">
        <f>IF(AND('341-CT'!$H$9=H1161,OR(LEFT(N1161,3)=$W$7,LEFT(O1161,3)=$W$7)),"x","")</f>
        <v/>
      </c>
      <c r="X1161" s="85" t="str">
        <f>IF(OR(TH!N1161=TH!$X$7,O1161=TH!$X$7),"x","")</f>
        <v/>
      </c>
      <c r="Y1161" s="85" t="str">
        <f>IF(AND(OR(N1161="131",O1161="131"),H1161='131-CT'!$H$9),"x","")</f>
        <v/>
      </c>
      <c r="Z1161" s="85"/>
      <c r="AA1161" s="85" t="str">
        <f>IF(AND(MONTH(E1161)='IN-NX'!$J$5,'IN-NX'!$D$7=D1161),"x","")</f>
        <v/>
      </c>
      <c r="AB1161" s="85" t="str">
        <f>IF(AND(OR(LEFT(TH!N1161,2)="15",LEFT(TH!O1161,2)="15"),'152-CT'!$J$8=TH!F1161),"x","")</f>
        <v/>
      </c>
      <c r="AC1161" s="85" t="str">
        <f>IF(AND(OR(LEFT(TH!N1161,2)="15",LEFT(TH!O1161,2)="15"),TK!$E$7=TH!F1161),"x","")</f>
        <v/>
      </c>
      <c r="AD1161" s="85" t="str">
        <f>IF(AND(N1161="1521",MONTH(C1161)='BK-NL'!$M$11),"x","")</f>
        <v/>
      </c>
    </row>
    <row r="1162" spans="1:30" ht="15.75" customHeight="1">
      <c r="A1162" s="342" t="str">
        <f>IF(B1162&lt;&gt;"",IF(AND(B1162='IN-TC'!$S$4,OR(TH!N1162="1111",TH!O1162="1111")),TH!D1162,""),"")</f>
        <v/>
      </c>
      <c r="B1162" s="63" t="str">
        <f t="shared" si="125"/>
        <v/>
      </c>
      <c r="C1162" s="64"/>
      <c r="D1162" s="64"/>
      <c r="E1162" s="64"/>
      <c r="F1162" s="67"/>
      <c r="G1162" s="67"/>
      <c r="H1162" s="74"/>
      <c r="I1162" s="446"/>
      <c r="J1162" s="446"/>
      <c r="K1162" s="437"/>
      <c r="L1162" s="446"/>
      <c r="M1162" s="65"/>
      <c r="N1162" s="66"/>
      <c r="O1162" s="66"/>
      <c r="P1162" s="85" t="str">
        <f>IF(AND('331-CT'!$E$7=TH!H1162,OR(N1162="331",O1162="331")),"x","")</f>
        <v/>
      </c>
      <c r="Q1162" s="85" t="str">
        <f>IF(AND(B1162='111'!$L$11,OR($N1162=$Q$7,$O1162=$Q$7)),"x","")</f>
        <v/>
      </c>
      <c r="R1162" s="85" t="str">
        <f>IF(AND($N1162=$Q$7,$B1162&lt;'111'!$L$11),"x","")</f>
        <v/>
      </c>
      <c r="S1162" s="85" t="str">
        <f>IF(AND($O1162=$Q$7,$B1162&lt;'111'!$L$11),"x","")</f>
        <v/>
      </c>
      <c r="T1162" s="85" t="str">
        <f>IF(ISERROR(FIND('112'!$M$9,G1162,1)),"",IF((AND(FIND('112'!$M$9,G1162,1)&gt;=1,B1162='112'!$K$9,OR($N1162='112'!$I$6,$O1162='112'!$I$6))),"x",""))</f>
        <v/>
      </c>
      <c r="U1162" s="85" t="str">
        <f>IF(ISERROR(FIND('112'!$M$9,G1162,1)),"",IF((AND(LEFT(G1162,2)=LEFT('112'!$M$9,2),B1162&lt;'112'!$K$9,$N1162='112'!$I$6)),"x",""))</f>
        <v/>
      </c>
      <c r="V1162" s="85" t="str">
        <f>IF(ISERROR(FIND('112'!$M$9,G1162,1)),"",IF((AND(RIGHT(G1162,2)=RIGHT('112'!$M$9,2),B1162&lt;'112'!$K$9,$O1162='112'!$I$6)),"x",""))</f>
        <v/>
      </c>
      <c r="W1162" s="85" t="str">
        <f>IF(AND('341-CT'!$H$9=H1162,OR(LEFT(N1162,3)=$W$7,LEFT(O1162,3)=$W$7)),"x","")</f>
        <v/>
      </c>
      <c r="X1162" s="85" t="str">
        <f>IF(OR(TH!N1162=TH!$X$7,O1162=TH!$X$7),"x","")</f>
        <v/>
      </c>
      <c r="Y1162" s="85" t="str">
        <f>IF(AND(OR(N1162="131",O1162="131"),H1162='131-CT'!$H$9),"x","")</f>
        <v/>
      </c>
      <c r="Z1162" s="85"/>
      <c r="AA1162" s="85" t="str">
        <f>IF(AND(MONTH(E1162)='IN-NX'!$J$5,'IN-NX'!$D$7=D1162),"x","")</f>
        <v/>
      </c>
      <c r="AB1162" s="85" t="str">
        <f>IF(AND(OR(LEFT(TH!N1162,2)="15",LEFT(TH!O1162,2)="15"),'152-CT'!$J$8=TH!F1162),"x","")</f>
        <v/>
      </c>
      <c r="AC1162" s="85" t="str">
        <f>IF(AND(OR(LEFT(TH!N1162,2)="15",LEFT(TH!O1162,2)="15"),TK!$E$7=TH!F1162),"x","")</f>
        <v/>
      </c>
      <c r="AD1162" s="85" t="str">
        <f>IF(AND(N1162="1521",MONTH(C1162)='BK-NL'!$M$11),"x","")</f>
        <v/>
      </c>
    </row>
    <row r="1163" spans="1:30" ht="15.75" customHeight="1">
      <c r="A1163" s="342" t="str">
        <f>IF(B1163&lt;&gt;"",IF(AND(B1163='IN-TC'!$S$4,OR(TH!N1163="1111",TH!O1163="1111")),TH!D1163,""),"")</f>
        <v/>
      </c>
      <c r="B1163" s="63" t="str">
        <f t="shared" si="125"/>
        <v/>
      </c>
      <c r="C1163" s="64"/>
      <c r="D1163" s="64"/>
      <c r="E1163" s="64"/>
      <c r="F1163" s="67"/>
      <c r="G1163" s="67"/>
      <c r="H1163" s="74"/>
      <c r="I1163" s="446"/>
      <c r="J1163" s="446"/>
      <c r="K1163" s="437"/>
      <c r="L1163" s="446"/>
      <c r="M1163" s="65"/>
      <c r="N1163" s="66"/>
      <c r="O1163" s="66"/>
      <c r="P1163" s="85" t="str">
        <f>IF(AND('331-CT'!$E$7=TH!H1163,OR(N1163="331",O1163="331")),"x","")</f>
        <v/>
      </c>
      <c r="Q1163" s="85" t="str">
        <f>IF(AND(B1163='111'!$L$11,OR($N1163=$Q$7,$O1163=$Q$7)),"x","")</f>
        <v/>
      </c>
      <c r="R1163" s="85" t="str">
        <f>IF(AND($N1163=$Q$7,$B1163&lt;'111'!$L$11),"x","")</f>
        <v/>
      </c>
      <c r="S1163" s="85" t="str">
        <f>IF(AND($O1163=$Q$7,$B1163&lt;'111'!$L$11),"x","")</f>
        <v/>
      </c>
      <c r="T1163" s="85" t="str">
        <f>IF(ISERROR(FIND('112'!$M$9,G1163,1)),"",IF((AND(FIND('112'!$M$9,G1163,1)&gt;=1,B1163='112'!$K$9,OR($N1163='112'!$I$6,$O1163='112'!$I$6))),"x",""))</f>
        <v/>
      </c>
      <c r="U1163" s="85" t="str">
        <f>IF(ISERROR(FIND('112'!$M$9,G1163,1)),"",IF((AND(LEFT(G1163,2)=LEFT('112'!$M$9,2),B1163&lt;'112'!$K$9,$N1163='112'!$I$6)),"x",""))</f>
        <v/>
      </c>
      <c r="V1163" s="85" t="str">
        <f>IF(ISERROR(FIND('112'!$M$9,G1163,1)),"",IF((AND(RIGHT(G1163,2)=RIGHT('112'!$M$9,2),B1163&lt;'112'!$K$9,$O1163='112'!$I$6)),"x",""))</f>
        <v/>
      </c>
      <c r="W1163" s="85" t="str">
        <f>IF(AND('341-CT'!$H$9=H1163,OR(LEFT(N1163,3)=$W$7,LEFT(O1163,3)=$W$7)),"x","")</f>
        <v/>
      </c>
      <c r="X1163" s="85" t="str">
        <f>IF(OR(TH!N1163=TH!$X$7,O1163=TH!$X$7),"x","")</f>
        <v/>
      </c>
      <c r="Y1163" s="85" t="str">
        <f>IF(AND(OR(N1163="131",O1163="131"),H1163='131-CT'!$H$9),"x","")</f>
        <v/>
      </c>
      <c r="Z1163" s="85"/>
      <c r="AA1163" s="85" t="str">
        <f>IF(AND(MONTH(E1163)='IN-NX'!$J$5,'IN-NX'!$D$7=D1163),"x","")</f>
        <v/>
      </c>
      <c r="AB1163" s="85" t="str">
        <f>IF(AND(OR(LEFT(TH!N1163,2)="15",LEFT(TH!O1163,2)="15"),'152-CT'!$J$8=TH!F1163),"x","")</f>
        <v/>
      </c>
      <c r="AC1163" s="85" t="str">
        <f>IF(AND(OR(LEFT(TH!N1163,2)="15",LEFT(TH!O1163,2)="15"),TK!$E$7=TH!F1163),"x","")</f>
        <v/>
      </c>
      <c r="AD1163" s="85" t="str">
        <f>IF(AND(N1163="1521",MONTH(C1163)='BK-NL'!$M$11),"x","")</f>
        <v/>
      </c>
    </row>
    <row r="1164" spans="1:30" ht="15.75" customHeight="1">
      <c r="A1164" s="342" t="str">
        <f>IF(B1164&lt;&gt;"",IF(AND(B1164='IN-TC'!$S$4,OR(TH!N1164="1111",TH!O1164="1111")),TH!D1164,""),"")</f>
        <v/>
      </c>
      <c r="B1164" s="63" t="str">
        <f t="shared" si="125"/>
        <v/>
      </c>
      <c r="C1164" s="64"/>
      <c r="D1164" s="64"/>
      <c r="E1164" s="64"/>
      <c r="F1164" s="67"/>
      <c r="G1164" s="67"/>
      <c r="H1164" s="74"/>
      <c r="I1164" s="446"/>
      <c r="J1164" s="446"/>
      <c r="K1164" s="437"/>
      <c r="L1164" s="446"/>
      <c r="M1164" s="65"/>
      <c r="N1164" s="66"/>
      <c r="O1164" s="66"/>
      <c r="P1164" s="85" t="str">
        <f>IF(AND('331-CT'!$E$7=TH!H1164,OR(N1164="331",O1164="331")),"x","")</f>
        <v/>
      </c>
      <c r="Q1164" s="85" t="str">
        <f>IF(AND(B1164='111'!$L$11,OR($N1164=$Q$7,$O1164=$Q$7)),"x","")</f>
        <v/>
      </c>
      <c r="R1164" s="85" t="str">
        <f>IF(AND($N1164=$Q$7,$B1164&lt;'111'!$L$11),"x","")</f>
        <v/>
      </c>
      <c r="S1164" s="85" t="str">
        <f>IF(AND($O1164=$Q$7,$B1164&lt;'111'!$L$11),"x","")</f>
        <v/>
      </c>
      <c r="T1164" s="85" t="str">
        <f>IF(ISERROR(FIND('112'!$M$9,G1164,1)),"",IF((AND(FIND('112'!$M$9,G1164,1)&gt;=1,B1164='112'!$K$9,OR($N1164='112'!$I$6,$O1164='112'!$I$6))),"x",""))</f>
        <v/>
      </c>
      <c r="U1164" s="85" t="str">
        <f>IF(ISERROR(FIND('112'!$M$9,G1164,1)),"",IF((AND(LEFT(G1164,2)=LEFT('112'!$M$9,2),B1164&lt;'112'!$K$9,$N1164='112'!$I$6)),"x",""))</f>
        <v/>
      </c>
      <c r="V1164" s="85" t="str">
        <f>IF(ISERROR(FIND('112'!$M$9,G1164,1)),"",IF((AND(RIGHT(G1164,2)=RIGHT('112'!$M$9,2),B1164&lt;'112'!$K$9,$O1164='112'!$I$6)),"x",""))</f>
        <v/>
      </c>
      <c r="W1164" s="85" t="str">
        <f>IF(AND('341-CT'!$H$9=H1164,OR(LEFT(N1164,3)=$W$7,LEFT(O1164,3)=$W$7)),"x","")</f>
        <v/>
      </c>
      <c r="X1164" s="85" t="str">
        <f>IF(OR(TH!N1164=TH!$X$7,O1164=TH!$X$7),"x","")</f>
        <v/>
      </c>
      <c r="Y1164" s="85" t="str">
        <f>IF(AND(OR(N1164="131",O1164="131"),H1164='131-CT'!$H$9),"x","")</f>
        <v/>
      </c>
      <c r="Z1164" s="85"/>
      <c r="AA1164" s="85" t="str">
        <f>IF(AND(MONTH(E1164)='IN-NX'!$J$5,'IN-NX'!$D$7=D1164),"x","")</f>
        <v/>
      </c>
      <c r="AB1164" s="85" t="str">
        <f>IF(AND(OR(LEFT(TH!N1164,2)="15",LEFT(TH!O1164,2)="15"),'152-CT'!$J$8=TH!F1164),"x","")</f>
        <v/>
      </c>
      <c r="AC1164" s="85" t="str">
        <f>IF(AND(OR(LEFT(TH!N1164,2)="15",LEFT(TH!O1164,2)="15"),TK!$E$7=TH!F1164),"x","")</f>
        <v/>
      </c>
      <c r="AD1164" s="85" t="str">
        <f>IF(AND(N1164="1521",MONTH(C1164)='BK-NL'!$M$11),"x","")</f>
        <v/>
      </c>
    </row>
    <row r="1165" spans="1:30" ht="15.75" customHeight="1">
      <c r="A1165" s="342" t="str">
        <f>IF(B1165&lt;&gt;"",IF(AND(B1165='IN-TC'!$S$4,OR(TH!N1165="1111",TH!O1165="1111")),TH!D1165,""),"")</f>
        <v/>
      </c>
      <c r="B1165" s="63" t="str">
        <f t="shared" si="125"/>
        <v/>
      </c>
      <c r="C1165" s="64"/>
      <c r="D1165" s="64"/>
      <c r="E1165" s="64"/>
      <c r="F1165" s="67"/>
      <c r="G1165" s="67"/>
      <c r="H1165" s="74"/>
      <c r="I1165" s="446"/>
      <c r="J1165" s="446"/>
      <c r="K1165" s="437"/>
      <c r="L1165" s="446"/>
      <c r="M1165" s="65"/>
      <c r="N1165" s="66"/>
      <c r="O1165" s="66"/>
      <c r="P1165" s="85" t="str">
        <f>IF(AND('331-CT'!$E$7=TH!H1165,OR(N1165="331",O1165="331")),"x","")</f>
        <v/>
      </c>
      <c r="Q1165" s="85" t="str">
        <f>IF(AND(B1165='111'!$L$11,OR($N1165=$Q$7,$O1165=$Q$7)),"x","")</f>
        <v/>
      </c>
      <c r="R1165" s="85" t="str">
        <f>IF(AND($N1165=$Q$7,$B1165&lt;'111'!$L$11),"x","")</f>
        <v/>
      </c>
      <c r="S1165" s="85" t="str">
        <f>IF(AND($O1165=$Q$7,$B1165&lt;'111'!$L$11),"x","")</f>
        <v/>
      </c>
      <c r="T1165" s="85" t="str">
        <f>IF(ISERROR(FIND('112'!$M$9,G1165,1)),"",IF((AND(FIND('112'!$M$9,G1165,1)&gt;=1,B1165='112'!$K$9,OR($N1165='112'!$I$6,$O1165='112'!$I$6))),"x",""))</f>
        <v/>
      </c>
      <c r="U1165" s="85" t="str">
        <f>IF(ISERROR(FIND('112'!$M$9,G1165,1)),"",IF((AND(LEFT(G1165,2)=LEFT('112'!$M$9,2),B1165&lt;'112'!$K$9,$N1165='112'!$I$6)),"x",""))</f>
        <v/>
      </c>
      <c r="V1165" s="85" t="str">
        <f>IF(ISERROR(FIND('112'!$M$9,G1165,1)),"",IF((AND(RIGHT(G1165,2)=RIGHT('112'!$M$9,2),B1165&lt;'112'!$K$9,$O1165='112'!$I$6)),"x",""))</f>
        <v/>
      </c>
      <c r="W1165" s="85" t="str">
        <f>IF(AND('341-CT'!$H$9=H1165,OR(LEFT(N1165,3)=$W$7,LEFT(O1165,3)=$W$7)),"x","")</f>
        <v/>
      </c>
      <c r="X1165" s="85" t="str">
        <f>IF(OR(TH!N1165=TH!$X$7,O1165=TH!$X$7),"x","")</f>
        <v/>
      </c>
      <c r="Y1165" s="85" t="str">
        <f>IF(AND(OR(N1165="131",O1165="131"),H1165='131-CT'!$H$9),"x","")</f>
        <v/>
      </c>
      <c r="Z1165" s="85"/>
      <c r="AA1165" s="85" t="str">
        <f>IF(AND(MONTH(E1165)='IN-NX'!$J$5,'IN-NX'!$D$7=D1165),"x","")</f>
        <v/>
      </c>
      <c r="AB1165" s="85" t="str">
        <f>IF(AND(OR(LEFT(TH!N1165,2)="15",LEFT(TH!O1165,2)="15"),'152-CT'!$J$8=TH!F1165),"x","")</f>
        <v/>
      </c>
      <c r="AC1165" s="85" t="str">
        <f>IF(AND(OR(LEFT(TH!N1165,2)="15",LEFT(TH!O1165,2)="15"),TK!$E$7=TH!F1165),"x","")</f>
        <v/>
      </c>
      <c r="AD1165" s="85" t="str">
        <f>IF(AND(N1165="1521",MONTH(C1165)='BK-NL'!$M$11),"x","")</f>
        <v/>
      </c>
    </row>
    <row r="1166" spans="1:30" ht="15.75" customHeight="1">
      <c r="A1166" s="342" t="str">
        <f>IF(B1166&lt;&gt;"",IF(AND(B1166='IN-TC'!$S$4,OR(TH!N1166="1111",TH!O1166="1111")),TH!D1166,""),"")</f>
        <v/>
      </c>
      <c r="B1166" s="63" t="str">
        <f t="shared" si="125"/>
        <v/>
      </c>
      <c r="C1166" s="64"/>
      <c r="D1166" s="64"/>
      <c r="E1166" s="64"/>
      <c r="F1166" s="67"/>
      <c r="G1166" s="67"/>
      <c r="H1166" s="74"/>
      <c r="I1166" s="446"/>
      <c r="J1166" s="446"/>
      <c r="K1166" s="437"/>
      <c r="L1166" s="446"/>
      <c r="M1166" s="65"/>
      <c r="N1166" s="66"/>
      <c r="O1166" s="66"/>
      <c r="P1166" s="85" t="str">
        <f>IF(AND('331-CT'!$E$7=TH!H1166,OR(N1166="331",O1166="331")),"x","")</f>
        <v/>
      </c>
      <c r="Q1166" s="85" t="str">
        <f>IF(AND(B1166='111'!$L$11,OR($N1166=$Q$7,$O1166=$Q$7)),"x","")</f>
        <v/>
      </c>
      <c r="R1166" s="85" t="str">
        <f>IF(AND($N1166=$Q$7,$B1166&lt;'111'!$L$11),"x","")</f>
        <v/>
      </c>
      <c r="S1166" s="85" t="str">
        <f>IF(AND($O1166=$Q$7,$B1166&lt;'111'!$L$11),"x","")</f>
        <v/>
      </c>
      <c r="T1166" s="85" t="str">
        <f>IF(ISERROR(FIND('112'!$M$9,G1166,1)),"",IF((AND(FIND('112'!$M$9,G1166,1)&gt;=1,B1166='112'!$K$9,OR($N1166='112'!$I$6,$O1166='112'!$I$6))),"x",""))</f>
        <v/>
      </c>
      <c r="U1166" s="85" t="str">
        <f>IF(ISERROR(FIND('112'!$M$9,G1166,1)),"",IF((AND(LEFT(G1166,2)=LEFT('112'!$M$9,2),B1166&lt;'112'!$K$9,$N1166='112'!$I$6)),"x",""))</f>
        <v/>
      </c>
      <c r="V1166" s="85" t="str">
        <f>IF(ISERROR(FIND('112'!$M$9,G1166,1)),"",IF((AND(RIGHT(G1166,2)=RIGHT('112'!$M$9,2),B1166&lt;'112'!$K$9,$O1166='112'!$I$6)),"x",""))</f>
        <v/>
      </c>
      <c r="W1166" s="85" t="str">
        <f>IF(AND('341-CT'!$H$9=H1166,OR(LEFT(N1166,3)=$W$7,LEFT(O1166,3)=$W$7)),"x","")</f>
        <v/>
      </c>
      <c r="X1166" s="85" t="str">
        <f>IF(OR(TH!N1166=TH!$X$7,O1166=TH!$X$7),"x","")</f>
        <v/>
      </c>
      <c r="Y1166" s="85" t="str">
        <f>IF(AND(OR(N1166="131",O1166="131"),H1166='131-CT'!$H$9),"x","")</f>
        <v/>
      </c>
      <c r="Z1166" s="85"/>
      <c r="AA1166" s="85" t="str">
        <f>IF(AND(MONTH(E1166)='IN-NX'!$J$5,'IN-NX'!$D$7=D1166),"x","")</f>
        <v/>
      </c>
      <c r="AB1166" s="85" t="str">
        <f>IF(AND(OR(LEFT(TH!N1166,2)="15",LEFT(TH!O1166,2)="15"),'152-CT'!$J$8=TH!F1166),"x","")</f>
        <v/>
      </c>
      <c r="AC1166" s="85" t="str">
        <f>IF(AND(OR(LEFT(TH!N1166,2)="15",LEFT(TH!O1166,2)="15"),TK!$E$7=TH!F1166),"x","")</f>
        <v/>
      </c>
      <c r="AD1166" s="85" t="str">
        <f>IF(AND(N1166="1521",MONTH(C1166)='BK-NL'!$M$11),"x","")</f>
        <v/>
      </c>
    </row>
    <row r="1177" spans="13:13">
      <c r="M1177" s="980">
        <f>SUBTOTAL(9,M10:M1166)</f>
        <v>174730694588.39999</v>
      </c>
    </row>
  </sheetData>
  <autoFilter ref="A9:AA1166"/>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3" t="s">
        <v>191</v>
      </c>
      <c r="N1" s="1223"/>
      <c r="O1" s="1223"/>
      <c r="P1" s="1223"/>
      <c r="Q1" s="1223"/>
      <c r="R1" s="1223"/>
      <c r="S1" s="1223"/>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24" t="s">
        <v>144</v>
      </c>
      <c r="N2" s="1224"/>
      <c r="O2" s="1224"/>
      <c r="P2" s="1224"/>
      <c r="Q2" s="1224"/>
      <c r="R2" s="1224"/>
      <c r="S2" s="1224"/>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26" t="s">
        <v>192</v>
      </c>
      <c r="C5" s="1226"/>
      <c r="D5" s="1226"/>
      <c r="E5" s="1226"/>
      <c r="F5" s="1226"/>
      <c r="G5" s="1226"/>
      <c r="H5" s="1226"/>
      <c r="I5" s="1226"/>
      <c r="J5" s="1226"/>
      <c r="K5" s="1226"/>
      <c r="L5" s="1226"/>
      <c r="M5" s="1226"/>
      <c r="N5" s="1226"/>
      <c r="O5" s="1226"/>
      <c r="P5" s="1226"/>
      <c r="Q5" s="1226"/>
      <c r="R5" s="1226"/>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963" t="s">
        <v>17</v>
      </c>
      <c r="D8" s="962" t="s">
        <v>34</v>
      </c>
      <c r="E8" s="1221"/>
      <c r="F8" s="1221"/>
      <c r="G8" s="964" t="s">
        <v>24</v>
      </c>
      <c r="H8" s="964" t="s">
        <v>25</v>
      </c>
      <c r="I8" s="1222"/>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937</v>
      </c>
      <c r="F40" s="982">
        <f ca="1">AY52</f>
        <v>0</v>
      </c>
      <c r="G40" s="983" t="s">
        <v>942</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938</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939</v>
      </c>
      <c r="F43" s="982">
        <f ca="1">CP52</f>
        <v>0</v>
      </c>
      <c r="G43" s="983" t="s">
        <v>109</v>
      </c>
      <c r="H43" s="983"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940</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941</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3" t="str">
        <f>'SC-I'!M1:S1</f>
        <v>Mẫu số S01-DN</v>
      </c>
      <c r="N1" s="1223"/>
      <c r="O1" s="1223"/>
      <c r="P1" s="1223"/>
      <c r="Q1" s="1223"/>
      <c r="R1" s="1223"/>
      <c r="S1" s="1223"/>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24" t="str">
        <f>'SC-I'!M2:S3</f>
        <v>(Ban hành theo Thông tư số 200/2014/TT-BTC  Ngày 22/12/2014 của Bộ Tài chính)</v>
      </c>
      <c r="N2" s="1224"/>
      <c r="O2" s="1224"/>
      <c r="P2" s="1224"/>
      <c r="Q2" s="1224"/>
      <c r="R2" s="1224"/>
      <c r="S2" s="1224"/>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26" t="s">
        <v>220</v>
      </c>
      <c r="C5" s="1226"/>
      <c r="D5" s="1226"/>
      <c r="E5" s="1226"/>
      <c r="F5" s="1226"/>
      <c r="G5" s="1226"/>
      <c r="H5" s="1226"/>
      <c r="I5" s="1226"/>
      <c r="J5" s="1226"/>
      <c r="K5" s="1226"/>
      <c r="L5" s="1226"/>
      <c r="M5" s="1226"/>
      <c r="N5" s="1226"/>
      <c r="O5" s="1226"/>
      <c r="P5" s="1226"/>
      <c r="Q5" s="1226"/>
      <c r="R5" s="1226"/>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5" t="s">
        <v>17</v>
      </c>
      <c r="D8" s="1004" t="s">
        <v>34</v>
      </c>
      <c r="E8" s="1221"/>
      <c r="F8" s="1221"/>
      <c r="G8" s="1006" t="s">
        <v>24</v>
      </c>
      <c r="H8" s="1006" t="s">
        <v>25</v>
      </c>
      <c r="I8" s="122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3" t="s">
        <v>191</v>
      </c>
      <c r="L1" s="1223"/>
      <c r="M1" s="1223"/>
      <c r="N1" s="1223"/>
      <c r="O1" s="1223"/>
      <c r="P1" s="1223"/>
      <c r="Q1" s="1223"/>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24" t="s">
        <v>144</v>
      </c>
      <c r="L2" s="1224"/>
      <c r="M2" s="1224"/>
      <c r="N2" s="1224"/>
      <c r="O2" s="1224"/>
      <c r="P2" s="1224"/>
      <c r="Q2" s="1224"/>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24"/>
      <c r="L3" s="1224"/>
      <c r="M3" s="1224"/>
      <c r="N3" s="1224"/>
      <c r="O3" s="1224"/>
      <c r="P3" s="1224"/>
      <c r="Q3" s="1224"/>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26" t="s">
        <v>222</v>
      </c>
      <c r="C5" s="1226"/>
      <c r="D5" s="1226"/>
      <c r="E5" s="1226"/>
      <c r="F5" s="1226"/>
      <c r="G5" s="1226"/>
      <c r="H5" s="1226"/>
      <c r="I5" s="1226"/>
      <c r="J5" s="1226"/>
      <c r="K5" s="1226"/>
      <c r="L5" s="1226"/>
      <c r="M5" s="1226"/>
      <c r="N5" s="1226"/>
      <c r="O5" s="1226"/>
      <c r="P5" s="1226"/>
      <c r="Q5" s="1226"/>
      <c r="R5" s="1226"/>
      <c r="S5" s="265"/>
      <c r="AP5" s="265"/>
      <c r="AQ5" s="265"/>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5" t="s">
        <v>17</v>
      </c>
      <c r="D8" s="1004" t="s">
        <v>34</v>
      </c>
      <c r="E8" s="1221"/>
      <c r="F8" s="1221"/>
      <c r="G8" s="1006" t="s">
        <v>24</v>
      </c>
      <c r="H8" s="1006" t="s">
        <v>25</v>
      </c>
      <c r="I8" s="122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3" t="s">
        <v>191</v>
      </c>
      <c r="M1" s="1223"/>
      <c r="N1" s="1223"/>
      <c r="O1" s="1223"/>
      <c r="P1" s="1223"/>
      <c r="Q1" s="1223"/>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24" t="s">
        <v>144</v>
      </c>
      <c r="M2" s="1224"/>
      <c r="N2" s="1224"/>
      <c r="O2" s="1224"/>
      <c r="P2" s="1224"/>
      <c r="Q2" s="1224"/>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24"/>
      <c r="M3" s="1224"/>
      <c r="N3" s="1224"/>
      <c r="O3" s="1224"/>
      <c r="P3" s="1224"/>
      <c r="Q3" s="1224"/>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26" t="s">
        <v>224</v>
      </c>
      <c r="C5" s="1226"/>
      <c r="D5" s="1226"/>
      <c r="E5" s="1226"/>
      <c r="F5" s="1226"/>
      <c r="G5" s="1226"/>
      <c r="H5" s="1226"/>
      <c r="I5" s="1226"/>
      <c r="J5" s="1226"/>
      <c r="K5" s="1226"/>
      <c r="L5" s="1226"/>
      <c r="M5" s="1226"/>
      <c r="N5" s="1226"/>
      <c r="O5" s="1226"/>
      <c r="P5" s="1226"/>
      <c r="Q5" s="1226"/>
      <c r="R5" s="1226"/>
      <c r="S5" s="265"/>
    </row>
    <row r="7" spans="1:105" ht="13.5" customHeight="1">
      <c r="A7" s="1227" t="s">
        <v>37</v>
      </c>
      <c r="B7" s="1221" t="s">
        <v>22</v>
      </c>
      <c r="C7" s="1229" t="s">
        <v>1</v>
      </c>
      <c r="D7" s="1230"/>
      <c r="E7" s="1221" t="s">
        <v>0</v>
      </c>
      <c r="F7" s="1221" t="s">
        <v>113</v>
      </c>
      <c r="G7" s="1231" t="s">
        <v>114</v>
      </c>
      <c r="H7" s="1231"/>
      <c r="I7" s="1222" t="s">
        <v>37</v>
      </c>
      <c r="J7" s="1221" t="s">
        <v>193</v>
      </c>
      <c r="K7" s="1221"/>
      <c r="L7" s="1221" t="s">
        <v>194</v>
      </c>
      <c r="M7" s="1221"/>
      <c r="N7" s="1221" t="s">
        <v>269</v>
      </c>
      <c r="O7" s="1221"/>
      <c r="P7" s="1221" t="s">
        <v>980</v>
      </c>
      <c r="Q7" s="1221"/>
      <c r="R7" s="1221" t="s">
        <v>195</v>
      </c>
      <c r="S7" s="1221"/>
      <c r="T7" s="1221" t="s">
        <v>196</v>
      </c>
      <c r="U7" s="1221"/>
      <c r="V7" s="1221" t="s">
        <v>981</v>
      </c>
      <c r="W7" s="1221"/>
      <c r="X7" s="1221" t="s">
        <v>982</v>
      </c>
      <c r="Y7" s="1221"/>
      <c r="Z7" s="1221" t="s">
        <v>983</v>
      </c>
      <c r="AA7" s="1221"/>
      <c r="AB7" s="1221" t="s">
        <v>984</v>
      </c>
      <c r="AC7" s="1221"/>
      <c r="AD7" s="1221" t="s">
        <v>985</v>
      </c>
      <c r="AE7" s="1221"/>
      <c r="AF7" s="1221" t="s">
        <v>986</v>
      </c>
      <c r="AG7" s="1221"/>
      <c r="AH7" s="1221" t="s">
        <v>987</v>
      </c>
      <c r="AI7" s="1221"/>
      <c r="AJ7" s="1221" t="s">
        <v>988</v>
      </c>
      <c r="AK7" s="1221"/>
      <c r="AL7" s="1221" t="s">
        <v>989</v>
      </c>
      <c r="AM7" s="1221"/>
      <c r="AN7" s="1221" t="s">
        <v>990</v>
      </c>
      <c r="AO7" s="1221"/>
      <c r="AP7" s="1221" t="s">
        <v>991</v>
      </c>
      <c r="AQ7" s="1221"/>
      <c r="AR7" s="1221" t="s">
        <v>992</v>
      </c>
      <c r="AS7" s="1221"/>
      <c r="AT7" s="1221" t="s">
        <v>197</v>
      </c>
      <c r="AU7" s="1221"/>
      <c r="AV7" s="1221" t="s">
        <v>198</v>
      </c>
      <c r="AW7" s="1221"/>
      <c r="AX7" s="1221" t="s">
        <v>993</v>
      </c>
      <c r="AY7" s="1221"/>
      <c r="AZ7" s="1221" t="s">
        <v>994</v>
      </c>
      <c r="BA7" s="1221"/>
      <c r="BB7" s="1221" t="s">
        <v>995</v>
      </c>
      <c r="BC7" s="1221"/>
      <c r="BD7" s="1221" t="s">
        <v>199</v>
      </c>
      <c r="BE7" s="1221"/>
      <c r="BF7" s="1221" t="s">
        <v>996</v>
      </c>
      <c r="BG7" s="1221"/>
      <c r="BH7" s="1221" t="s">
        <v>200</v>
      </c>
      <c r="BI7" s="1221"/>
      <c r="BJ7" s="1221" t="s">
        <v>997</v>
      </c>
      <c r="BK7" s="1221"/>
      <c r="BL7" s="1221" t="s">
        <v>998</v>
      </c>
      <c r="BM7" s="1221"/>
      <c r="BN7" s="1221" t="s">
        <v>999</v>
      </c>
      <c r="BO7" s="1221"/>
      <c r="BP7" s="1221" t="s">
        <v>1000</v>
      </c>
      <c r="BQ7" s="1221"/>
      <c r="BR7" s="1221" t="s">
        <v>201</v>
      </c>
      <c r="BS7" s="1221"/>
      <c r="BT7" s="1221" t="s">
        <v>202</v>
      </c>
      <c r="BU7" s="1221"/>
      <c r="BV7" s="1221" t="s">
        <v>264</v>
      </c>
      <c r="BW7" s="1221"/>
      <c r="BX7" s="1221" t="s">
        <v>203</v>
      </c>
      <c r="BY7" s="1221"/>
      <c r="BZ7" s="1221" t="s">
        <v>204</v>
      </c>
      <c r="CA7" s="1221"/>
      <c r="CB7" s="1221" t="s">
        <v>205</v>
      </c>
      <c r="CC7" s="1221"/>
      <c r="CD7" s="1221" t="s">
        <v>1001</v>
      </c>
      <c r="CE7" s="1221"/>
      <c r="CF7" s="1221" t="s">
        <v>1002</v>
      </c>
      <c r="CG7" s="1221"/>
      <c r="CH7" s="1221" t="s">
        <v>206</v>
      </c>
      <c r="CI7" s="1221"/>
      <c r="CJ7" s="1221" t="s">
        <v>1003</v>
      </c>
      <c r="CK7" s="1221"/>
      <c r="CL7" s="1221" t="s">
        <v>1004</v>
      </c>
      <c r="CM7" s="1221"/>
      <c r="CN7" s="1221" t="s">
        <v>207</v>
      </c>
      <c r="CO7" s="1221"/>
      <c r="CP7" s="1221" t="s">
        <v>1005</v>
      </c>
      <c r="CQ7" s="1221"/>
      <c r="CR7" s="1221" t="s">
        <v>208</v>
      </c>
      <c r="CS7" s="1221"/>
      <c r="CT7" s="1221" t="s">
        <v>209</v>
      </c>
      <c r="CU7" s="1221"/>
      <c r="CV7" s="1221" t="s">
        <v>210</v>
      </c>
      <c r="CW7" s="1221"/>
      <c r="CX7" s="1221" t="s">
        <v>211</v>
      </c>
      <c r="CY7" s="1221"/>
      <c r="CZ7" s="1221" t="s">
        <v>212</v>
      </c>
      <c r="DA7" s="1221"/>
    </row>
    <row r="8" spans="1:105" ht="22.5" customHeight="1">
      <c r="A8" s="1228"/>
      <c r="B8" s="1221"/>
      <c r="C8" s="1005" t="s">
        <v>17</v>
      </c>
      <c r="D8" s="1004" t="s">
        <v>34</v>
      </c>
      <c r="E8" s="1221"/>
      <c r="F8" s="1221"/>
      <c r="G8" s="1006" t="s">
        <v>24</v>
      </c>
      <c r="H8" s="1006" t="s">
        <v>25</v>
      </c>
      <c r="I8" s="122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937</v>
      </c>
      <c r="F40" s="982">
        <f ca="1">AY52</f>
        <v>0</v>
      </c>
      <c r="G40" s="983" t="s">
        <v>942</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938</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939</v>
      </c>
      <c r="F43" s="982">
        <f ca="1">CP52</f>
        <v>0</v>
      </c>
      <c r="G43" s="983" t="s">
        <v>109</v>
      </c>
      <c r="H43" s="983"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940</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941</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54"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36" t="s">
        <v>183</v>
      </c>
      <c r="H2" s="1236"/>
      <c r="I2" s="1236"/>
    </row>
    <row r="3" spans="1:9" ht="15.75" customHeight="1">
      <c r="A3" s="1" t="s">
        <v>184</v>
      </c>
      <c r="G3" s="1237" t="s">
        <v>144</v>
      </c>
      <c r="H3" s="1237"/>
      <c r="I3" s="1237"/>
    </row>
    <row r="4" spans="1:9">
      <c r="F4" s="17"/>
      <c r="G4" s="1237"/>
      <c r="H4" s="1237"/>
      <c r="I4" s="1237"/>
    </row>
    <row r="5" spans="1:9" ht="17.25" customHeight="1">
      <c r="A5" s="1238" t="s">
        <v>185</v>
      </c>
      <c r="B5" s="1238"/>
      <c r="C5" s="1238"/>
      <c r="D5" s="1238"/>
      <c r="E5" s="1238"/>
      <c r="F5" s="1238"/>
      <c r="G5" s="1238"/>
      <c r="H5" s="1238"/>
      <c r="I5" s="1238"/>
    </row>
    <row r="6" spans="1:9">
      <c r="A6" s="1239" t="s">
        <v>186</v>
      </c>
      <c r="B6" s="1240"/>
      <c r="C6" s="1240"/>
      <c r="D6" s="1240"/>
      <c r="E6" s="1240"/>
      <c r="F6" s="1240"/>
      <c r="G6" s="1240"/>
      <c r="H6" s="1240"/>
      <c r="I6" s="1240"/>
    </row>
    <row r="7" spans="1:9">
      <c r="B7" s="5"/>
      <c r="C7" s="5"/>
      <c r="D7" s="249" t="s">
        <v>187</v>
      </c>
      <c r="E7" s="250" t="s">
        <v>72</v>
      </c>
    </row>
    <row r="8" spans="1:9">
      <c r="B8" s="5"/>
      <c r="C8" s="5"/>
      <c r="D8" s="249" t="s">
        <v>188</v>
      </c>
      <c r="E8" s="5" t="str">
        <f>VLOOKUP($E$7,DSTK,2,0)</f>
        <v xml:space="preserve"> Phải Thu Khác </v>
      </c>
    </row>
    <row r="9" spans="1:9">
      <c r="A9" s="1240" t="s">
        <v>31</v>
      </c>
      <c r="B9" s="1241"/>
      <c r="C9" s="1241"/>
      <c r="D9" s="1241"/>
      <c r="E9" s="1241"/>
      <c r="F9" s="1241"/>
      <c r="G9" s="1241"/>
      <c r="H9" s="1241"/>
      <c r="I9" s="1241"/>
    </row>
    <row r="10" spans="1:9" ht="9.75" customHeight="1">
      <c r="C10" s="1242"/>
      <c r="D10" s="1243"/>
      <c r="E10" s="1243"/>
      <c r="F10" s="1243"/>
      <c r="G10" s="1243"/>
      <c r="H10" s="1243"/>
      <c r="I10" s="1243"/>
    </row>
    <row r="11" spans="1:9" s="18" customFormat="1" ht="19.5" customHeight="1">
      <c r="A11" s="1244" t="s">
        <v>22</v>
      </c>
      <c r="B11" s="1234" t="s">
        <v>1</v>
      </c>
      <c r="C11" s="1245"/>
      <c r="D11" s="1244" t="s">
        <v>0</v>
      </c>
      <c r="E11" s="1244" t="s">
        <v>16</v>
      </c>
      <c r="F11" s="1234" t="s">
        <v>23</v>
      </c>
      <c r="G11" s="1245"/>
      <c r="H11" s="1234" t="s">
        <v>33</v>
      </c>
      <c r="I11" s="1235"/>
    </row>
    <row r="12" spans="1:9" s="18" customFormat="1" ht="32.25" customHeight="1">
      <c r="A12" s="1244"/>
      <c r="B12" s="416" t="s">
        <v>17</v>
      </c>
      <c r="C12" s="416" t="s">
        <v>34</v>
      </c>
      <c r="D12" s="1244"/>
      <c r="E12" s="1244"/>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f ca="1">IF(ROWS($1:5)&gt;COUNT(Dong5),"",OFFSET(TH!C$1,SMALL(Dong5,ROWS($1:5)),))</f>
        <v>42494</v>
      </c>
      <c r="B19" s="334" t="str">
        <f ca="1">IF(ROWS($1:5)&gt;COUNT(Dong5),"",OFFSET(TH!D$1,SMALL(Dong5,ROWS($1:5)),))</f>
        <v>GBN</v>
      </c>
      <c r="C19" s="334">
        <f ca="1">IF(ROWS($1:5)&gt;COUNT(Dong5),"",OFFSET(TH!E$1,SMALL(Dong5,ROWS($1:5)),))</f>
        <v>42494</v>
      </c>
      <c r="D19" s="419" t="str">
        <f ca="1">IF(ROWS($1:5)&gt;COUNT(Dong5),"",OFFSET(TH!F$1,SMALL(Dong5,ROWS($1:5)),))</f>
        <v>Ứng vốn Trà Vinh</v>
      </c>
      <c r="E19" s="334" t="str">
        <f ca="1">IF(ROWS($1:5)&gt;COUNT(Dong5),"",IF(OFFSET(TH!N$1,SMALL(Dong5,ROWS($1:5)),)=$E$7,OFFSET(TH!O$1,SMALL(Dong5,ROWS($1:5)),),OFFSET(TH!N$1,SMALL(Dong5,ROWS($1:5)),)))</f>
        <v>1121</v>
      </c>
      <c r="F19" s="420">
        <f ca="1">IF(ROWS($1:5)&gt;COUNT(Dong5),0,IF(OFFSET(TH!N$1,SMALL(Dong5,ROWS($1:5)),)=$E$7,OFFSET(TH!M$1,SMALL(Dong5,ROWS($1:5)),),0))</f>
        <v>95000000</v>
      </c>
      <c r="G19" s="418">
        <f ca="1">IF(ROWS($1:5)&gt;COUNT(Dong5),0,IF(OFFSET(TH!O$1,SMALL(Dong5,ROWS($1:5)),)=$E$7,OFFSET(TH!M$1,SMALL(Dong5,ROWS($1:5)),),0))</f>
        <v>0</v>
      </c>
      <c r="H19" s="421">
        <f t="shared" ca="1" si="0"/>
        <v>1480000000</v>
      </c>
      <c r="I19" s="421">
        <f t="shared" ca="1" si="1"/>
        <v>0</v>
      </c>
    </row>
    <row r="20" spans="1:9" s="18" customFormat="1" ht="18" customHeight="1">
      <c r="A20" s="334">
        <f ca="1">IF(ROWS($1:6)&gt;COUNT(Dong5),"",OFFSET(TH!C$1,SMALL(Dong5,ROWS($1:6)),))</f>
        <v>42509</v>
      </c>
      <c r="B20" s="334" t="str">
        <f ca="1">IF(ROWS($1:6)&gt;COUNT(Dong5),"",OFFSET(TH!D$1,SMALL(Dong5,ROWS($1:6)),))</f>
        <v>GBN</v>
      </c>
      <c r="C20" s="334">
        <f ca="1">IF(ROWS($1:6)&gt;COUNT(Dong5),"",OFFSET(TH!E$1,SMALL(Dong5,ROWS($1:6)),))</f>
        <v>42509</v>
      </c>
      <c r="D20" s="419" t="str">
        <f ca="1">IF(ROWS($1:6)&gt;COUNT(Dong5),"",OFFSET(TH!F$1,SMALL(Dong5,ROWS($1:6)),))</f>
        <v>Ứng vốn Trà Vinh</v>
      </c>
      <c r="E20" s="334" t="str">
        <f ca="1">IF(ROWS($1:6)&gt;COUNT(Dong5),"",IF(OFFSET(TH!N$1,SMALL(Dong5,ROWS($1:6)),)=$E$7,OFFSET(TH!O$1,SMALL(Dong5,ROWS($1:6)),),OFFSET(TH!N$1,SMALL(Dong5,ROWS($1:6)),)))</f>
        <v>1121</v>
      </c>
      <c r="F20" s="420">
        <f ca="1">IF(ROWS($1:6)&gt;COUNT(Dong5),0,IF(OFFSET(TH!N$1,SMALL(Dong5,ROWS($1:6)),)=$E$7,OFFSET(TH!M$1,SMALL(Dong5,ROWS($1:6)),),0))</f>
        <v>14000000</v>
      </c>
      <c r="G20" s="418">
        <f ca="1">IF(ROWS($1:6)&gt;COUNT(Dong5),0,IF(OFFSET(TH!O$1,SMALL(Dong5,ROWS($1:6)),)=$E$7,OFFSET(TH!M$1,SMALL(Dong5,ROWS($1:6)),),0))</f>
        <v>0</v>
      </c>
      <c r="H20" s="421">
        <f t="shared" ca="1" si="0"/>
        <v>1494000000</v>
      </c>
      <c r="I20" s="421">
        <f t="shared" ca="1" si="1"/>
        <v>0</v>
      </c>
    </row>
    <row r="21" spans="1:9" s="18" customFormat="1" ht="18" customHeight="1">
      <c r="A21" s="334">
        <f ca="1">IF(ROWS($1:7)&gt;COUNT(Dong5),"",OFFSET(TH!C$1,SMALL(Dong5,ROWS($1:7)),))</f>
        <v>42515</v>
      </c>
      <c r="B21" s="334" t="str">
        <f ca="1">IF(ROWS($1:7)&gt;COUNT(Dong5),"",OFFSET(TH!D$1,SMALL(Dong5,ROWS($1:7)),))</f>
        <v>GBN</v>
      </c>
      <c r="C21" s="334">
        <f ca="1">IF(ROWS($1:7)&gt;COUNT(Dong5),"",OFFSET(TH!E$1,SMALL(Dong5,ROWS($1:7)),))</f>
        <v>42515</v>
      </c>
      <c r="D21" s="419" t="str">
        <f ca="1">IF(ROWS($1:7)&gt;COUNT(Dong5),"",OFFSET(TH!F$1,SMALL(Dong5,ROWS($1:7)),)&amp;" - "&amp;OFFSET(TH!H$1,SMALL(Dong5,ROWS($1:7)),))</f>
        <v>Ứng vốn Trà Vinh - Cty TNHH Hải Sản An Lạc Trà Vinh</v>
      </c>
      <c r="E21" s="334" t="str">
        <f ca="1">IF(ROWS($1:7)&gt;COUNT(Dong5),"",IF(OFFSET(TH!N$1,SMALL(Dong5,ROWS($1:7)),)=$E$7,OFFSET(TH!O$1,SMALL(Dong5,ROWS($1:7)),),OFFSET(TH!N$1,SMALL(Dong5,ROWS($1:7)),)))</f>
        <v>1121</v>
      </c>
      <c r="F21" s="420">
        <f ca="1">IF(ROWS($1:7)&gt;COUNT(Dong5),0,IF(OFFSET(TH!N$1,SMALL(Dong5,ROWS($1:7)),)=$E$7,OFFSET(TH!M$1,SMALL(Dong5,ROWS($1:7)),),0))</f>
        <v>85000000</v>
      </c>
      <c r="G21" s="418">
        <f ca="1">IF(ROWS($1:7)&gt;COUNT(Dong5),0,IF(OFFSET(TH!O$1,SMALL(Dong5,ROWS($1:7)),)=$E$7,OFFSET(TH!M$1,SMALL(Dong5,ROWS($1:7)),),0))</f>
        <v>0</v>
      </c>
      <c r="H21" s="421">
        <f t="shared" ca="1" si="0"/>
        <v>1579000000</v>
      </c>
      <c r="I21" s="421">
        <f t="shared" ca="1" si="1"/>
        <v>0</v>
      </c>
    </row>
    <row r="22" spans="1:9" s="18" customFormat="1" ht="18" customHeight="1">
      <c r="A22" s="334">
        <f ca="1">IF(ROWS($1:8)&gt;COUNT(Dong5),"",OFFSET(TH!C$1,SMALL(Dong5,ROWS($1:8)),))</f>
        <v>42521</v>
      </c>
      <c r="B22" s="334" t="str">
        <f ca="1">IF(ROWS($1:8)&gt;COUNT(Dong5),"",OFFSET(TH!D$1,SMALL(Dong5,ROWS($1:8)),))</f>
        <v>CTGS</v>
      </c>
      <c r="C22" s="334">
        <f ca="1">IF(ROWS($1:8)&gt;COUNT(Dong5),"",OFFSET(TH!E$1,SMALL(Dong5,ROWS($1:8)),))</f>
        <v>42521</v>
      </c>
      <c r="D22" s="419" t="str">
        <f ca="1">IF(ROWS($1:8)&gt;COUNT(Dong5),"",OFFSET(TH!F$1,SMALL(Dong5,ROWS($1:8)),)&amp;" - "&amp;OFFSET(TH!H$1,SMALL(Dong5,ROWS($1:8)),))</f>
        <v>Đề nghị hoàn thuế GTGT số:01/2016-AL - Cục Thuế Tỉnh Long An</v>
      </c>
      <c r="E22" s="334" t="str">
        <f ca="1">IF(ROWS($1:8)&gt;COUNT(Dong5),"",IF(OFFSET(TH!N$1,SMALL(Dong5,ROWS($1:8)),)=$E$7,OFFSET(TH!O$1,SMALL(Dong5,ROWS($1:8)),),OFFSET(TH!N$1,SMALL(Dong5,ROWS($1:8)),)))</f>
        <v>1331</v>
      </c>
      <c r="F22" s="420">
        <f ca="1">IF(ROWS($1:8)&gt;COUNT(Dong5),0,IF(OFFSET(TH!N$1,SMALL(Dong5,ROWS($1:8)),)=$E$7,OFFSET(TH!M$1,SMALL(Dong5,ROWS($1:8)),),0))</f>
        <v>321158412</v>
      </c>
      <c r="G22" s="418">
        <f ca="1">IF(ROWS($1:8)&gt;COUNT(Dong5),0,IF(OFFSET(TH!O$1,SMALL(Dong5,ROWS($1:8)),)=$E$7,OFFSET(TH!M$1,SMALL(Dong5,ROWS($1:8)),),0))</f>
        <v>0</v>
      </c>
      <c r="H22" s="421">
        <f t="shared" ca="1" si="0"/>
        <v>1900158412</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560158412</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1900158412</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32" t="s">
        <v>190</v>
      </c>
      <c r="F56" s="1232"/>
      <c r="G56" s="1232"/>
      <c r="H56" s="1232"/>
      <c r="I56" s="1232"/>
    </row>
    <row r="57" spans="1:9" s="18" customFormat="1" ht="12.75">
      <c r="A57" s="1232" t="s">
        <v>11</v>
      </c>
      <c r="B57" s="1232"/>
      <c r="C57" s="1232"/>
      <c r="D57" s="1232"/>
      <c r="E57" s="1232" t="s">
        <v>12</v>
      </c>
      <c r="F57" s="1232"/>
      <c r="G57" s="1232"/>
      <c r="H57" s="1232"/>
      <c r="I57" s="1232"/>
    </row>
    <row r="58" spans="1:9" s="18" customFormat="1" ht="12.75">
      <c r="A58" s="1232" t="s">
        <v>13</v>
      </c>
      <c r="B58" s="1232"/>
      <c r="C58" s="1232"/>
      <c r="D58" s="1232"/>
      <c r="E58" s="1232" t="s">
        <v>13</v>
      </c>
      <c r="F58" s="1232"/>
      <c r="G58" s="1232"/>
      <c r="H58" s="1232"/>
      <c r="I58" s="1232"/>
    </row>
    <row r="59" spans="1:9" s="18" customFormat="1" ht="12.75">
      <c r="A59" s="362"/>
      <c r="B59" s="362"/>
      <c r="C59" s="362"/>
      <c r="E59" s="362"/>
    </row>
    <row r="60" spans="1:9">
      <c r="D60" s="251"/>
      <c r="F60" s="252"/>
    </row>
    <row r="65" spans="1:4">
      <c r="A65" s="1233" t="s">
        <v>230</v>
      </c>
      <c r="B65" s="1233"/>
      <c r="C65" s="1233"/>
      <c r="D65" s="1233"/>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2</v>
      </c>
      <c r="T4" s="122"/>
      <c r="U4" s="1018" t="s">
        <v>4</v>
      </c>
      <c r="V4" s="148"/>
      <c r="W4" s="1019">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36" t="s">
        <v>143</v>
      </c>
      <c r="H1" s="1236"/>
      <c r="I1" s="1236"/>
      <c r="J1" s="1236"/>
    </row>
    <row r="2" spans="1:12" s="3" customFormat="1" ht="16.5" customHeight="1">
      <c r="A2" s="137" t="s">
        <v>139</v>
      </c>
      <c r="B2" s="16"/>
      <c r="C2" s="16"/>
      <c r="D2" s="16"/>
      <c r="E2" s="16"/>
      <c r="G2" s="1237" t="s">
        <v>144</v>
      </c>
      <c r="H2" s="1237"/>
      <c r="I2" s="1237"/>
      <c r="J2" s="1237"/>
    </row>
    <row r="3" spans="1:12" s="3" customFormat="1" ht="16.5" customHeight="1">
      <c r="A3" s="4"/>
      <c r="B3" s="16"/>
      <c r="C3" s="154"/>
      <c r="D3" s="154"/>
      <c r="E3" s="16"/>
      <c r="G3" s="1237"/>
      <c r="H3" s="1237"/>
      <c r="I3" s="1237"/>
      <c r="J3" s="1237"/>
    </row>
    <row r="4" spans="1:12" s="3" customFormat="1" ht="6.75" customHeight="1">
      <c r="A4" s="16"/>
      <c r="B4" s="16"/>
      <c r="C4" s="16"/>
      <c r="D4" s="16"/>
      <c r="E4" s="16"/>
      <c r="G4" s="155"/>
      <c r="H4" s="155"/>
      <c r="I4" s="155"/>
      <c r="J4" s="155"/>
    </row>
    <row r="5" spans="1:12" ht="24.75" customHeight="1">
      <c r="A5" s="1246" t="s">
        <v>145</v>
      </c>
      <c r="B5" s="1246"/>
      <c r="C5" s="1246"/>
      <c r="D5" s="1246"/>
      <c r="E5" s="1246"/>
      <c r="F5" s="1246"/>
      <c r="G5" s="1246"/>
      <c r="H5" s="1246"/>
      <c r="I5" s="1246"/>
      <c r="J5" s="1246"/>
    </row>
    <row r="6" spans="1:12" ht="14.25" customHeight="1">
      <c r="A6" s="1248" t="str">
        <f>$L$11&amp;" / 2015"</f>
        <v>1 / 2015</v>
      </c>
      <c r="B6" s="1248"/>
      <c r="C6" s="1248"/>
      <c r="D6" s="1248"/>
      <c r="E6" s="1248"/>
      <c r="F6" s="1248"/>
      <c r="G6" s="1248"/>
      <c r="H6" s="1248"/>
      <c r="I6" s="1248"/>
      <c r="J6" s="1248"/>
    </row>
    <row r="7" spans="1:12">
      <c r="A7" s="1247" t="s">
        <v>146</v>
      </c>
      <c r="B7" s="1247"/>
      <c r="C7" s="1247"/>
      <c r="D7" s="1247"/>
      <c r="E7" s="1247"/>
      <c r="F7" s="1247"/>
      <c r="G7" s="1247"/>
      <c r="H7" s="1247"/>
      <c r="I7" s="1247"/>
      <c r="J7" s="1247"/>
    </row>
    <row r="8" spans="1:12">
      <c r="A8" s="1247" t="s">
        <v>147</v>
      </c>
      <c r="B8" s="1247"/>
      <c r="C8" s="1247"/>
      <c r="D8" s="1247"/>
      <c r="E8" s="1247"/>
      <c r="F8" s="1247"/>
      <c r="G8" s="1247"/>
      <c r="H8" s="1247"/>
      <c r="I8" s="1247"/>
      <c r="J8" s="1247"/>
    </row>
    <row r="9" spans="1:12">
      <c r="A9" s="157"/>
      <c r="I9" s="157" t="s">
        <v>148</v>
      </c>
    </row>
    <row r="10" spans="1:12" ht="33" customHeight="1" thickBot="1">
      <c r="A10" s="1250" t="s">
        <v>22</v>
      </c>
      <c r="B10" s="1250" t="s">
        <v>149</v>
      </c>
      <c r="C10" s="1249" t="s">
        <v>150</v>
      </c>
      <c r="D10" s="1249"/>
      <c r="E10" s="1249" t="s">
        <v>0</v>
      </c>
      <c r="F10" s="1250" t="s">
        <v>16</v>
      </c>
      <c r="G10" s="1249" t="s">
        <v>23</v>
      </c>
      <c r="H10" s="1249"/>
      <c r="I10" s="1249" t="s">
        <v>151</v>
      </c>
      <c r="J10" s="1249" t="s">
        <v>152</v>
      </c>
      <c r="L10" s="183"/>
    </row>
    <row r="11" spans="1:12" ht="24" customHeight="1" thickBot="1">
      <c r="A11" s="1251"/>
      <c r="B11" s="1251"/>
      <c r="C11" s="158" t="s">
        <v>153</v>
      </c>
      <c r="D11" s="158" t="s">
        <v>154</v>
      </c>
      <c r="E11" s="1249"/>
      <c r="F11" s="1251"/>
      <c r="G11" s="158" t="s">
        <v>24</v>
      </c>
      <c r="H11" s="158" t="s">
        <v>25</v>
      </c>
      <c r="I11" s="1249"/>
      <c r="J11" s="1249"/>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99"/>
  <sheetViews>
    <sheetView topLeftCell="A6" workbookViewId="0">
      <pane ySplit="6" topLeftCell="A12" activePane="bottomLeft" state="frozen"/>
      <selection activeCell="A6" sqref="A6"/>
      <selection pane="bottomLeft" activeCell="M9" sqref="M9"/>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54" t="s">
        <v>165</v>
      </c>
      <c r="B4" s="1254"/>
      <c r="C4" s="1254"/>
      <c r="D4" s="1254"/>
      <c r="E4" s="1254"/>
      <c r="F4" s="1254"/>
      <c r="G4" s="1254"/>
      <c r="H4" s="1254"/>
      <c r="I4" s="1254"/>
    </row>
    <row r="5" spans="1:19" s="185" customFormat="1" ht="15">
      <c r="A5" s="1255" t="s">
        <v>166</v>
      </c>
      <c r="B5" s="1255"/>
      <c r="C5" s="1255"/>
      <c r="D5" s="1255"/>
      <c r="E5" s="1255"/>
      <c r="F5" s="1255"/>
      <c r="G5" s="1255"/>
      <c r="H5" s="1255"/>
      <c r="I5" s="1255"/>
    </row>
    <row r="6" spans="1:19" s="185" customFormat="1" ht="15">
      <c r="D6" s="453" t="s">
        <v>271</v>
      </c>
      <c r="E6" s="1255" t="str">
        <f>IF($H$6="VNĐ",IF($M$9="Q11","1015 148 5100 9180","1402 148 5100 9465"),IF($M$9="Q11","1015 148 5100 9193","1402 148 5100 9479"))</f>
        <v>1402 148 5100 9465</v>
      </c>
      <c r="F6" s="1255"/>
      <c r="G6" s="1255"/>
      <c r="H6" s="1175" t="s">
        <v>130</v>
      </c>
      <c r="I6" s="454" t="str">
        <f>IF(H6="VNĐ","1121",IF(H6="USD","1122",""))</f>
        <v>1121</v>
      </c>
      <c r="O6" s="1252" t="s">
        <v>931</v>
      </c>
      <c r="P6" s="1252" t="s">
        <v>929</v>
      </c>
      <c r="Q6" s="1252" t="s">
        <v>928</v>
      </c>
      <c r="R6" s="1252" t="s">
        <v>934</v>
      </c>
    </row>
    <row r="7" spans="1:19" s="185" customFormat="1" ht="8.25" customHeight="1">
      <c r="A7" s="190"/>
      <c r="B7" s="191"/>
      <c r="C7" s="190"/>
      <c r="D7" s="191"/>
      <c r="E7" s="191"/>
      <c r="F7" s="191"/>
      <c r="G7" s="191"/>
      <c r="H7" s="1176"/>
      <c r="I7" s="191"/>
      <c r="O7" s="1253"/>
      <c r="P7" s="1253"/>
      <c r="Q7" s="1253"/>
      <c r="R7" s="1253"/>
    </row>
    <row r="8" spans="1:19" s="192" customFormat="1" ht="22.5" customHeight="1" thickBot="1">
      <c r="A8" s="1258" t="s">
        <v>167</v>
      </c>
      <c r="B8" s="1260" t="s">
        <v>1</v>
      </c>
      <c r="C8" s="1261"/>
      <c r="D8" s="1256" t="s">
        <v>0</v>
      </c>
      <c r="E8" s="1262" t="s">
        <v>16</v>
      </c>
      <c r="F8" s="1260" t="s">
        <v>168</v>
      </c>
      <c r="G8" s="1260"/>
      <c r="H8" s="1261"/>
      <c r="I8" s="1256" t="s">
        <v>152</v>
      </c>
      <c r="K8" s="183"/>
      <c r="L8" s="185"/>
      <c r="O8" s="952" t="s">
        <v>933</v>
      </c>
      <c r="P8" s="439">
        <v>1749.9699999988079</v>
      </c>
      <c r="Q8" s="439">
        <v>97840.270000000019</v>
      </c>
      <c r="R8" s="439"/>
      <c r="S8" s="954">
        <f>SUM(P8:R8)</f>
        <v>99590.239999998827</v>
      </c>
    </row>
    <row r="9" spans="1:19" s="192" customFormat="1" ht="22.5" customHeight="1" thickBot="1">
      <c r="A9" s="1259"/>
      <c r="B9" s="193" t="s">
        <v>17</v>
      </c>
      <c r="C9" s="194" t="s">
        <v>169</v>
      </c>
      <c r="D9" s="1257"/>
      <c r="E9" s="1263"/>
      <c r="F9" s="434" t="s">
        <v>170</v>
      </c>
      <c r="G9" s="195" t="s">
        <v>171</v>
      </c>
      <c r="H9" s="1177" t="s">
        <v>172</v>
      </c>
      <c r="I9" s="1257"/>
      <c r="K9" s="949">
        <v>5</v>
      </c>
      <c r="L9" s="185"/>
      <c r="M9" s="950" t="s">
        <v>928</v>
      </c>
      <c r="O9" s="951" t="s">
        <v>932</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4653180</v>
      </c>
      <c r="I11" s="956"/>
      <c r="L11" s="185"/>
    </row>
    <row r="12" spans="1:19" s="192" customFormat="1" ht="20.25" customHeight="1">
      <c r="A12" s="203">
        <f ca="1">IF(ROWS($1:1)&gt;COUNT(Dong2),"",OFFSET(TH!C$1,SMALL(Dong2,ROWS($1:1)),))</f>
        <v>42509</v>
      </c>
      <c r="B12" s="203" t="str">
        <f ca="1">IF(ROWS($1:1)&gt;COUNT(Dong2),"",OFFSET(TH!D$1,SMALL(Dong2,ROWS($1:1)),))</f>
        <v>GBN</v>
      </c>
      <c r="C12" s="203">
        <f ca="1">IF(ROWS($1:1)&gt;COUNT(Dong2),"",OFFSET(TH!E$1,SMALL(Dong2,ROWS($1:1)),))</f>
        <v>42509</v>
      </c>
      <c r="D12" s="388" t="str">
        <f ca="1">IF(ROWS($1:1)&gt;COUNT(Dong2),"",OFFSET(TH!F$1,SMALL(Dong2,ROWS($1:1)),))</f>
        <v>Chuyển VNĐ</v>
      </c>
      <c r="E12" s="203" t="str">
        <f ca="1">IF(ROWS($1:1)&gt;COUNT(Dong2),"",IF(OFFSET(TH!O$1,SMALL(Dong2,ROWS($1:1)),)=$I$6,OFFSET(TH!N$1,SMALL(Dong2,ROWS($1:1)),),OFFSET(TH!O$1,SMALL(Dong2,ROWS($1:1)),)))</f>
        <v>1121</v>
      </c>
      <c r="F12" s="960">
        <f ca="1">IF(ROWS($1:1)&gt;COUNT(Dong2),"",IF(AND(IF($M$9="Q4",LEFT(OFFSET(TH!G$1,SMALL(Dong2,ROWS($1:1)),),2)=$M$9,LEFT(OFFSET(TH!G$1,SMALL(Dong2,ROWS($1:1)),),3)=$M$9),OFFSET(TH!N$1,SMALL(Dong2,ROWS($1:1)),)=$I$6),IF($I$6="1121",OFFSET(TH!M$1,SMALL(Dong2,ROWS($1:1)),),OFFSET(TH!K$1,SMALL(Dong2,ROWS($1:1)),)),0))</f>
        <v>20000000</v>
      </c>
      <c r="G12" s="960">
        <f ca="1">IF(ROWS($1:1)&gt;COUNT(Dong2),"",IF(AND(IF($M$9="Q4",RIGHT(OFFSET(TH!G$1,SMALL(Dong2,ROWS($1:1)),),2)=$M$9,RIGHT(OFFSET(TH!G$1,SMALL(Dong2,ROWS($1:1)),),3)=$M$9),OFFSET(TH!O$1,SMALL(Dong2,ROWS($1:1)),)=$I$6),IF($I$6="1121",OFFSET(TH!M$1,SMALL(Dong2,ROWS($1:1)),),OFFSET(TH!K$1,SMALL(Dong2,ROWS($1:1)),)),0))</f>
        <v>0</v>
      </c>
      <c r="H12" s="957">
        <f ca="1">IF(A12&lt;&gt;"",H11+F12-G12,0)</f>
        <v>24653180</v>
      </c>
      <c r="I12" s="957"/>
      <c r="L12" s="185"/>
    </row>
    <row r="13" spans="1:19" s="192" customFormat="1" ht="20.25" customHeight="1">
      <c r="A13" s="203">
        <f ca="1">IF(ROWS($1:2)&gt;COUNT(Dong2),"",OFFSET(TH!C$1,SMALL(Dong2,ROWS($1:2)),))</f>
        <v>42506</v>
      </c>
      <c r="B13" s="203" t="str">
        <f ca="1">IF(ROWS($1:2)&gt;COUNT(Dong2),"",OFFSET(TH!D$1,SMALL(Dong2,ROWS($1:2)),))</f>
        <v>GBN</v>
      </c>
      <c r="C13" s="203">
        <f ca="1">IF(ROWS($1:2)&gt;COUNT(Dong2),"",OFFSET(TH!E$1,SMALL(Dong2,ROWS($1:2)),))</f>
        <v>42506</v>
      </c>
      <c r="D13" s="388" t="str">
        <f ca="1">IF(ROWS($1:2)&gt;COUNT(Dong2),"",OFFSET(TH!F$1,SMALL(Dong2,ROWS($1:2)),))</f>
        <v>Phí thông báo số dư 0982911262 VNĐ</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50000</v>
      </c>
      <c r="H13" s="957">
        <f t="shared" ref="H13:H52" ca="1" si="0">IF(A13&lt;&gt;"",H12+F13-G13,0)</f>
        <v>24603180</v>
      </c>
      <c r="I13" s="957"/>
      <c r="L13" s="185"/>
    </row>
    <row r="14" spans="1:19" s="192" customFormat="1" ht="20.25" customHeight="1">
      <c r="A14" s="203">
        <f ca="1">IF(ROWS($1:3)&gt;COUNT(Dong2),"",OFFSET(TH!C$1,SMALL(Dong2,ROWS($1:3)),))</f>
        <v>42506</v>
      </c>
      <c r="B14" s="203" t="str">
        <f ca="1">IF(ROWS($1:3)&gt;COUNT(Dong2),"",OFFSET(TH!D$1,SMALL(Dong2,ROWS($1:3)),))</f>
        <v>GBN</v>
      </c>
      <c r="C14" s="203">
        <f ca="1">IF(ROWS($1:3)&gt;COUNT(Dong2),"",OFFSET(TH!E$1,SMALL(Dong2,ROWS($1:3)),))</f>
        <v>42506</v>
      </c>
      <c r="D14" s="388" t="str">
        <f ca="1">IF(ROWS($1:3)&gt;COUNT(Dong2),"",OFFSET(TH!F$1,SMALL(Dong2,ROWS($1:3)),))</f>
        <v>VAT Phí thông báo số dư</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5000</v>
      </c>
      <c r="H14" s="957">
        <f t="shared" ca="1" si="0"/>
        <v>24598180</v>
      </c>
      <c r="I14" s="957"/>
      <c r="L14" s="185"/>
    </row>
    <row r="15" spans="1:19" s="192" customFormat="1" ht="20.25" customHeight="1">
      <c r="A15" s="203">
        <f ca="1">IF(ROWS($1:4)&gt;COUNT(Dong2),"",OFFSET(TH!C$1,SMALL(Dong2,ROWS($1:4)),))</f>
        <v>42506</v>
      </c>
      <c r="B15" s="203" t="str">
        <f ca="1">IF(ROWS($1:4)&gt;COUNT(Dong2),"",OFFSET(TH!D$1,SMALL(Dong2,ROWS($1:4)),))</f>
        <v>GBN</v>
      </c>
      <c r="C15" s="203">
        <f ca="1">IF(ROWS($1:4)&gt;COUNT(Dong2),"",OFFSET(TH!E$1,SMALL(Dong2,ROWS($1:4)),))</f>
        <v>42506</v>
      </c>
      <c r="D15" s="388" t="str">
        <f ca="1">IF(ROWS($1:4)&gt;COUNT(Dong2),"",OFFSET(TH!F$1,SMALL(Dong2,ROWS($1:4)),))</f>
        <v>Phí thông báo số dư 0982911262 USD</v>
      </c>
      <c r="E15" s="203" t="str">
        <f ca="1">IF(ROWS($1:4)&gt;COUNT(Dong2),"",IF(OFFSET(TH!O$1,SMALL(Dong2,ROWS($1:4)),)=$I$6,OFFSET(TH!N$1,SMALL(Dong2,ROWS($1:4)),),OFFSET(TH!O$1,SMALL(Dong2,ROWS($1:4)),)))</f>
        <v>642</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50000</v>
      </c>
      <c r="H15" s="957">
        <f t="shared" ca="1" si="0"/>
        <v>24548180</v>
      </c>
      <c r="I15" s="957"/>
      <c r="L15" s="185"/>
    </row>
    <row r="16" spans="1:19" s="192" customFormat="1" ht="20.25" customHeight="1">
      <c r="A16" s="203">
        <f ca="1">IF(ROWS($1:5)&gt;COUNT(Dong2),"",OFFSET(TH!C$1,SMALL(Dong2,ROWS($1:5)),))</f>
        <v>42506</v>
      </c>
      <c r="B16" s="203" t="str">
        <f ca="1">IF(ROWS($1:5)&gt;COUNT(Dong2),"",OFFSET(TH!D$1,SMALL(Dong2,ROWS($1:5)),))</f>
        <v>GBN</v>
      </c>
      <c r="C16" s="203">
        <f ca="1">IF(ROWS($1:5)&gt;COUNT(Dong2),"",OFFSET(TH!E$1,SMALL(Dong2,ROWS($1:5)),))</f>
        <v>42506</v>
      </c>
      <c r="D16" s="388" t="str">
        <f ca="1">IF(ROWS($1:5)&gt;COUNT(Dong2),"",OFFSET(TH!F$1,SMALL(Dong2,ROWS($1:5)),))</f>
        <v>VAT Phí thông báo số dư</v>
      </c>
      <c r="E16" s="203" t="str">
        <f ca="1">IF(ROWS($1:5)&gt;COUNT(Dong2),"",IF(OFFSET(TH!O$1,SMALL(Dong2,ROWS($1:5)),)=$I$6,OFFSET(TH!N$1,SMALL(Dong2,ROWS($1:5)),),OFFSET(TH!O$1,SMALL(Dong2,ROWS($1:5)),)))</f>
        <v>1331</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5000</v>
      </c>
      <c r="H16" s="957">
        <f t="shared" ca="1" si="0"/>
        <v>24543180</v>
      </c>
      <c r="I16" s="957"/>
      <c r="L16" s="185"/>
    </row>
    <row r="17" spans="1:15" s="192" customFormat="1" ht="20.25" customHeight="1">
      <c r="A17" s="203">
        <f ca="1">IF(ROWS($1:6)&gt;COUNT(Dong2),"",OFFSET(TH!C$1,SMALL(Dong2,ROWS($1:6)),))</f>
        <v>42509</v>
      </c>
      <c r="B17" s="203" t="str">
        <f ca="1">IF(ROWS($1:6)&gt;COUNT(Dong2),"",OFFSET(TH!D$1,SMALL(Dong2,ROWS($1:6)),))</f>
        <v>GBN</v>
      </c>
      <c r="C17" s="203">
        <f ca="1">IF(ROWS($1:6)&gt;COUNT(Dong2),"",OFFSET(TH!E$1,SMALL(Dong2,ROWS($1:6)),))</f>
        <v>42509</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5278457</v>
      </c>
      <c r="H17" s="957">
        <f t="shared" ca="1" si="0"/>
        <v>19264723</v>
      </c>
      <c r="I17" s="957"/>
      <c r="L17" s="185"/>
    </row>
    <row r="18" spans="1:15" s="192" customFormat="1" ht="20.25" customHeight="1">
      <c r="A18" s="203">
        <f ca="1">IF(ROWS($1:7)&gt;COUNT(Dong2),"",OFFSET(TH!C$1,SMALL(Dong2,ROWS($1:7)),))</f>
        <v>42509</v>
      </c>
      <c r="B18" s="203" t="str">
        <f ca="1">IF(ROWS($1:7)&gt;COUNT(Dong2),"",OFFSET(TH!D$1,SMALL(Dong2,ROWS($1:7)),))</f>
        <v>GBN</v>
      </c>
      <c r="C18" s="203">
        <f ca="1">IF(ROWS($1:7)&gt;COUNT(Dong2),"",OFFSET(TH!E$1,SMALL(Dong2,ROWS($1:7)),))</f>
        <v>42509</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4615999</v>
      </c>
      <c r="H18" s="957">
        <f t="shared" ca="1" si="0"/>
        <v>14648724</v>
      </c>
      <c r="I18" s="957"/>
      <c r="L18" s="185"/>
    </row>
    <row r="19" spans="1:15" s="192" customFormat="1" ht="20.25" customHeight="1">
      <c r="A19" s="203">
        <f ca="1">IF(ROWS($1:8)&gt;COUNT(Dong2),"",OFFSET(TH!C$1,SMALL(Dong2,ROWS($1:8)),))</f>
        <v>42509</v>
      </c>
      <c r="B19" s="203" t="str">
        <f ca="1">IF(ROWS($1:8)&gt;COUNT(Dong2),"",OFFSET(TH!D$1,SMALL(Dong2,ROWS($1:8)),))</f>
        <v>GBN</v>
      </c>
      <c r="C19" s="203">
        <f ca="1">IF(ROWS($1:8)&gt;COUNT(Dong2),"",OFFSET(TH!E$1,SMALL(Dong2,ROWS($1:8)),))</f>
        <v>42509</v>
      </c>
      <c r="D19" s="388" t="str">
        <f ca="1">IF(ROWS($1:8)&gt;COUNT(Dong2),"",OFFSET(TH!F$1,SMALL(Dong2,ROWS($1:8)),))</f>
        <v>Lãi vay</v>
      </c>
      <c r="E19" s="203" t="str">
        <f ca="1">IF(ROWS($1:8)&gt;COUNT(Dong2),"",IF(OFFSET(TH!O$1,SMALL(Dong2,ROWS($1:8)),)=$I$6,OFFSET(TH!N$1,SMALL(Dong2,ROWS($1:8)),),OFFSET(TH!O$1,SMALL(Dong2,ROWS($1:8)),)))</f>
        <v>635</v>
      </c>
      <c r="F19" s="960">
        <f ca="1">IF(ROWS($1:8)&gt;COUNT(Dong2),"",IF(AND(IF($M$9="Q4",LEFT(OFFSET(TH!G$1,SMALL(Dong2,ROWS($1:8)),),2)=$M$9,LEFT(OFFSET(TH!G$1,SMALL(Dong2,ROWS($1:8)),),3)=$M$9),OFFSET(TH!N$1,SMALL(Dong2,ROWS($1:8)),)=$I$6),IF($I$6="1121",OFFSET(TH!M$1,SMALL(Dong2,ROWS($1:8)),),OFFSET(TH!K$1,SMALL(Dong2,ROWS($1:8)),)),0))</f>
        <v>0</v>
      </c>
      <c r="G19" s="960">
        <f ca="1">IF(ROWS($1:8)&gt;COUNT(Dong2),"",IF(AND(IF($M$9="Q4",RIGHT(OFFSET(TH!G$1,SMALL(Dong2,ROWS($1:8)),),2)=$M$9,RIGHT(OFFSET(TH!G$1,SMALL(Dong2,ROWS($1:8)),),3)=$M$9),OFFSET(TH!O$1,SMALL(Dong2,ROWS($1:8)),)=$I$6),IF($I$6="1121",OFFSET(TH!M$1,SMALL(Dong2,ROWS($1:8)),),OFFSET(TH!K$1,SMALL(Dong2,ROWS($1:8)),)),0))</f>
        <v>2458964</v>
      </c>
      <c r="H19" s="957">
        <f t="shared" ca="1" si="0"/>
        <v>12189760</v>
      </c>
      <c r="I19" s="957"/>
      <c r="L19" s="185"/>
    </row>
    <row r="20" spans="1:15" s="192" customFormat="1" ht="20.25" customHeight="1">
      <c r="A20" s="203">
        <f ca="1">IF(ROWS($1:9)&gt;COUNT(Dong2),"",OFFSET(TH!C$1,SMALL(Dong2,ROWS($1:9)),))</f>
        <v>42509</v>
      </c>
      <c r="B20" s="203" t="str">
        <f ca="1">IF(ROWS($1:9)&gt;COUNT(Dong2),"",OFFSET(TH!D$1,SMALL(Dong2,ROWS($1:9)),))</f>
        <v>GBN</v>
      </c>
      <c r="C20" s="203">
        <f ca="1">IF(ROWS($1:9)&gt;COUNT(Dong2),"",OFFSET(TH!E$1,SMALL(Dong2,ROWS($1:9)),))</f>
        <v>42509</v>
      </c>
      <c r="D20" s="388" t="str">
        <f ca="1">IF(ROWS($1:9)&gt;COUNT(Dong2),"",OFFSET(TH!F$1,SMALL(Dong2,ROWS($1:9)),))</f>
        <v>Lãi vay</v>
      </c>
      <c r="E20" s="203" t="str">
        <f ca="1">IF(ROWS($1:9)&gt;COUNT(Dong2),"",IF(OFFSET(TH!O$1,SMALL(Dong2,ROWS($1:9)),)=$I$6,OFFSET(TH!N$1,SMALL(Dong2,ROWS($1:9)),),OFFSET(TH!O$1,SMALL(Dong2,ROWS($1:9)),)))</f>
        <v>635</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3204226</v>
      </c>
      <c r="H20" s="957">
        <f t="shared" ca="1" si="0"/>
        <v>8985534</v>
      </c>
      <c r="I20" s="957"/>
      <c r="L20" s="185"/>
    </row>
    <row r="21" spans="1:15" s="192" customFormat="1" ht="20.25" customHeight="1">
      <c r="A21" s="203">
        <f ca="1">IF(ROWS($1:10)&gt;COUNT(Dong2),"",OFFSET(TH!C$1,SMALL(Dong2,ROWS($1:10)),))</f>
        <v>42509</v>
      </c>
      <c r="B21" s="203" t="str">
        <f ca="1">IF(ROWS($1:10)&gt;COUNT(Dong2),"",OFFSET(TH!D$1,SMALL(Dong2,ROWS($1:10)),))</f>
        <v>GBN</v>
      </c>
      <c r="C21" s="203">
        <f ca="1">IF(ROWS($1:10)&gt;COUNT(Dong2),"",OFFSET(TH!E$1,SMALL(Dong2,ROWS($1:10)),))</f>
        <v>42509</v>
      </c>
      <c r="D21" s="388" t="str">
        <f ca="1">IF(ROWS($1:10)&gt;COUNT(Dong2),"",OFFSET(TH!F$1,SMALL(Dong2,ROWS($1:10)),))</f>
        <v>Lãi vay</v>
      </c>
      <c r="E21" s="203" t="str">
        <f ca="1">IF(ROWS($1:10)&gt;COUNT(Dong2),"",IF(OFFSET(TH!O$1,SMALL(Dong2,ROWS($1:10)),)=$I$6,OFFSET(TH!N$1,SMALL(Dong2,ROWS($1:10)),),OFFSET(TH!O$1,SMALL(Dong2,ROWS($1:10)),)))</f>
        <v>635</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3897213</v>
      </c>
      <c r="H21" s="957">
        <f t="shared" ca="1" si="0"/>
        <v>5088321</v>
      </c>
      <c r="I21" s="957"/>
      <c r="L21" s="185"/>
    </row>
    <row r="22" spans="1:15" s="192" customFormat="1" ht="20.25" customHeight="1">
      <c r="A22" s="203" t="str">
        <f ca="1">IF(ROWS($1:11)&gt;COUNT(Dong2),"",OFFSET(TH!C$1,SMALL(Dong2,ROWS($1:11)),))</f>
        <v/>
      </c>
      <c r="B22" s="203" t="str">
        <f ca="1">IF(ROWS($1:11)&gt;COUNT(Dong2),"",OFFSET(TH!D$1,SMALL(Dong2,ROWS($1:11)),))</f>
        <v/>
      </c>
      <c r="C22" s="203" t="str">
        <f ca="1">IF(ROWS($1:11)&gt;COUNT(Dong2),"",OFFSET(TH!E$1,SMALL(Dong2,ROWS($1:11)),))</f>
        <v/>
      </c>
      <c r="D22" s="388" t="str">
        <f ca="1">IF(ROWS($1:11)&gt;COUNT(Dong2),"",OFFSET(TH!F$1,SMALL(Dong2,ROWS($1:11)),))</f>
        <v/>
      </c>
      <c r="E22" s="203" t="str">
        <f ca="1">IF(ROWS($1:11)&gt;COUNT(Dong2),"",IF(OFFSET(TH!O$1,SMALL(Dong2,ROWS($1:11)),)=$I$6,OFFSET(TH!N$1,SMALL(Dong2,ROWS($1:11)),),OFFSET(TH!O$1,SMALL(Dong2,ROWS($1:11)),)))</f>
        <v/>
      </c>
      <c r="F22" s="960" t="str">
        <f ca="1">IF(ROWS($1:11)&gt;COUNT(Dong2),"",IF(AND(IF($M$9="Q4",LEFT(OFFSET(TH!G$1,SMALL(Dong2,ROWS($1:11)),),2)=$M$9,LEFT(OFFSET(TH!G$1,SMALL(Dong2,ROWS($1:11)),),3)=$M$9),OFFSET(TH!N$1,SMALL(Dong2,ROWS($1:11)),)=$I$6),IF($I$6="1121",OFFSET(TH!M$1,SMALL(Dong2,ROWS($1:11)),),OFFSET(TH!K$1,SMALL(Dong2,ROWS($1:11)),)),0))</f>
        <v/>
      </c>
      <c r="G22" s="960" t="str">
        <f ca="1">IF(ROWS($1:11)&gt;COUNT(Dong2),"",IF(AND(IF($M$9="Q4",RIGHT(OFFSET(TH!G$1,SMALL(Dong2,ROWS($1:11)),),2)=$M$9,RIGHT(OFFSET(TH!G$1,SMALL(Dong2,ROWS($1:11)),),3)=$M$9),OFFSET(TH!O$1,SMALL(Dong2,ROWS($1:11)),)=$I$6),IF($I$6="1121",OFFSET(TH!M$1,SMALL(Dong2,ROWS($1:11)),),OFFSET(TH!K$1,SMALL(Dong2,ROWS($1:11)),)),0))</f>
        <v/>
      </c>
      <c r="H22" s="957">
        <f t="shared" ca="1" si="0"/>
        <v>0</v>
      </c>
      <c r="I22" s="957"/>
      <c r="L22" s="185"/>
      <c r="O22" s="955"/>
    </row>
    <row r="23" spans="1:15" s="192" customFormat="1" ht="20.25" customHeight="1">
      <c r="A23" s="203" t="str">
        <f ca="1">IF(ROWS($1:12)&gt;COUNT(Dong2),"",OFFSET(TH!C$1,SMALL(Dong2,ROWS($1:12)),))</f>
        <v/>
      </c>
      <c r="B23" s="203" t="str">
        <f ca="1">IF(ROWS($1:12)&gt;COUNT(Dong2),"",OFFSET(TH!D$1,SMALL(Dong2,ROWS($1:12)),))</f>
        <v/>
      </c>
      <c r="C23" s="203" t="str">
        <f ca="1">IF(ROWS($1:12)&gt;COUNT(Dong2),"",OFFSET(TH!E$1,SMALL(Dong2,ROWS($1:12)),))</f>
        <v/>
      </c>
      <c r="D23" s="388" t="str">
        <f ca="1">IF(ROWS($1:12)&gt;COUNT(Dong2),"",OFFSET(TH!F$1,SMALL(Dong2,ROWS($1:12)),))</f>
        <v/>
      </c>
      <c r="E23" s="203" t="str">
        <f ca="1">IF(ROWS($1:12)&gt;COUNT(Dong2),"",IF(OFFSET(TH!O$1,SMALL(Dong2,ROWS($1:12)),)=$I$6,OFFSET(TH!N$1,SMALL(Dong2,ROWS($1:12)),),OFFSET(TH!O$1,SMALL(Dong2,ROWS($1:12)),)))</f>
        <v/>
      </c>
      <c r="F23" s="960" t="str">
        <f ca="1">IF(ROWS($1:12)&gt;COUNT(Dong2),"",IF(AND(IF($M$9="Q4",LEFT(OFFSET(TH!G$1,SMALL(Dong2,ROWS($1:12)),),2)=$M$9,LEFT(OFFSET(TH!G$1,SMALL(Dong2,ROWS($1:12)),),3)=$M$9),OFFSET(TH!N$1,SMALL(Dong2,ROWS($1:12)),)=$I$6),IF($I$6="1121",OFFSET(TH!M$1,SMALL(Dong2,ROWS($1:12)),),OFFSET(TH!K$1,SMALL(Dong2,ROWS($1:12)),)),0))</f>
        <v/>
      </c>
      <c r="G23" s="960" t="str">
        <f ca="1">IF(ROWS($1:12)&gt;COUNT(Dong2),"",IF(AND(IF($M$9="Q4",RIGHT(OFFSET(TH!G$1,SMALL(Dong2,ROWS($1:12)),),2)=$M$9,RIGHT(OFFSET(TH!G$1,SMALL(Dong2,ROWS($1:12)),),3)=$M$9),OFFSET(TH!O$1,SMALL(Dong2,ROWS($1:12)),)=$I$6),IF($I$6="1121",OFFSET(TH!M$1,SMALL(Dong2,ROWS($1:12)),),OFFSET(TH!K$1,SMALL(Dong2,ROWS($1:12)),)),0))</f>
        <v/>
      </c>
      <c r="H23" s="957">
        <f t="shared" ca="1" si="0"/>
        <v>0</v>
      </c>
      <c r="I23" s="957"/>
      <c r="L23" s="185"/>
    </row>
    <row r="24" spans="1:15" s="192" customFormat="1" ht="20.25" customHeight="1">
      <c r="A24" s="203" t="str">
        <f ca="1">IF(ROWS($1:13)&gt;COUNT(Dong2),"",OFFSET(TH!C$1,SMALL(Dong2,ROWS($1:13)),))</f>
        <v/>
      </c>
      <c r="B24" s="203" t="str">
        <f ca="1">IF(ROWS($1:13)&gt;COUNT(Dong2),"",OFFSET(TH!D$1,SMALL(Dong2,ROWS($1:13)),))</f>
        <v/>
      </c>
      <c r="C24" s="203" t="str">
        <f ca="1">IF(ROWS($1:13)&gt;COUNT(Dong2),"",OFFSET(TH!E$1,SMALL(Dong2,ROWS($1:13)),))</f>
        <v/>
      </c>
      <c r="D24" s="388" t="str">
        <f ca="1">IF(ROWS($1:13)&gt;COUNT(Dong2),"",OFFSET(TH!F$1,SMALL(Dong2,ROWS($1:13)),))</f>
        <v/>
      </c>
      <c r="E24" s="203" t="str">
        <f ca="1">IF(ROWS($1:13)&gt;COUNT(Dong2),"",IF(OFFSET(TH!O$1,SMALL(Dong2,ROWS($1:13)),)=$I$6,OFFSET(TH!N$1,SMALL(Dong2,ROWS($1:13)),),OFFSET(TH!O$1,SMALL(Dong2,ROWS($1:13)),)))</f>
        <v/>
      </c>
      <c r="F24" s="960" t="str">
        <f ca="1">IF(ROWS($1:13)&gt;COUNT(Dong2),"",IF(AND(IF($M$9="Q4",LEFT(OFFSET(TH!G$1,SMALL(Dong2,ROWS($1:13)),),2)=$M$9,LEFT(OFFSET(TH!G$1,SMALL(Dong2,ROWS($1:13)),),3)=$M$9),OFFSET(TH!N$1,SMALL(Dong2,ROWS($1:13)),)=$I$6),IF($I$6="1121",OFFSET(TH!M$1,SMALL(Dong2,ROWS($1:13)),),OFFSET(TH!K$1,SMALL(Dong2,ROWS($1:13)),)),0))</f>
        <v/>
      </c>
      <c r="G24" s="960" t="str">
        <f ca="1">IF(ROWS($1:13)&gt;COUNT(Dong2),"",IF(AND(IF($M$9="Q4",RIGHT(OFFSET(TH!G$1,SMALL(Dong2,ROWS($1:13)),),2)=$M$9,RIGHT(OFFSET(TH!G$1,SMALL(Dong2,ROWS($1:13)),),3)=$M$9),OFFSET(TH!O$1,SMALL(Dong2,ROWS($1:13)),)=$I$6),IF($I$6="1121",OFFSET(TH!M$1,SMALL(Dong2,ROWS($1:13)),),OFFSET(TH!K$1,SMALL(Dong2,ROWS($1:13)),)),0))</f>
        <v/>
      </c>
      <c r="H24" s="957">
        <f t="shared" ca="1" si="0"/>
        <v>0</v>
      </c>
      <c r="I24" s="957"/>
      <c r="L24" s="185"/>
      <c r="O24" s="1171"/>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8" t="str">
        <f ca="1">IF(ROWS($1:14)&gt;COUNT(Dong2),"",OFFSET(TH!F$1,SMALL(Dong2,ROWS($1:14)),))</f>
        <v/>
      </c>
      <c r="E25" s="203" t="str">
        <f ca="1">IF(ROWS($1:14)&gt;COUNT(Dong2),"",IF(OFFSET(TH!O$1,SMALL(Dong2,ROWS($1:14)),)=$I$6,OFFSET(TH!N$1,SMALL(Dong2,ROWS($1:14)),),OFFSET(TH!O$1,SMALL(Dong2,ROWS($1:14)),)))</f>
        <v/>
      </c>
      <c r="F25" s="960" t="str">
        <f ca="1">IF(ROWS($1:14)&gt;COUNT(Dong2),"",IF(AND(IF($M$9="Q4",LEFT(OFFSET(TH!G$1,SMALL(Dong2,ROWS($1:14)),),2)=$M$9,LEFT(OFFSET(TH!G$1,SMALL(Dong2,ROWS($1:14)),),3)=$M$9),OFFSET(TH!N$1,SMALL(Dong2,ROWS($1:14)),)=$I$6),IF($I$6="1121",OFFSET(TH!M$1,SMALL(Dong2,ROWS($1:14)),),OFFSET(TH!K$1,SMALL(Dong2,ROWS($1:14)),)),0))</f>
        <v/>
      </c>
      <c r="G25" s="960" t="str">
        <f ca="1">IF(ROWS($1:14)&gt;COUNT(Dong2),"",IF(AND(IF($M$9="Q4",RIGHT(OFFSET(TH!G$1,SMALL(Dong2,ROWS($1:14)),),2)=$M$9,RIGHT(OFFSET(TH!G$1,SMALL(Dong2,ROWS($1:14)),),3)=$M$9),OFFSET(TH!O$1,SMALL(Dong2,ROWS($1:14)),)=$I$6),IF($I$6="1121",OFFSET(TH!M$1,SMALL(Dong2,ROWS($1:14)),),OFFSET(TH!K$1,SMALL(Dong2,ROWS($1:14)),)),0))</f>
        <v/>
      </c>
      <c r="H25" s="957">
        <f t="shared" ca="1" si="0"/>
        <v>0</v>
      </c>
      <c r="I25" s="957"/>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8" t="str">
        <f ca="1">IF(ROWS($1:15)&gt;COUNT(Dong2),"",OFFSET(TH!F$1,SMALL(Dong2,ROWS($1:15)),))</f>
        <v/>
      </c>
      <c r="E26" s="203" t="str">
        <f ca="1">IF(ROWS($1:15)&gt;COUNT(Dong2),"",IF(OFFSET(TH!O$1,SMALL(Dong2,ROWS($1:15)),)=$I$6,OFFSET(TH!N$1,SMALL(Dong2,ROWS($1:15)),),OFFSET(TH!O$1,SMALL(Dong2,ROWS($1:15)),)))</f>
        <v/>
      </c>
      <c r="F26" s="960" t="str">
        <f ca="1">IF(ROWS($1:15)&gt;COUNT(Dong2),"",IF(AND(IF($M$9="Q4",LEFT(OFFSET(TH!G$1,SMALL(Dong2,ROWS($1:15)),),2)=$M$9,LEFT(OFFSET(TH!G$1,SMALL(Dong2,ROWS($1:15)),),3)=$M$9),OFFSET(TH!N$1,SMALL(Dong2,ROWS($1:15)),)=$I$6),IF($I$6="1121",OFFSET(TH!M$1,SMALL(Dong2,ROWS($1:15)),),OFFSET(TH!K$1,SMALL(Dong2,ROWS($1:15)),)),0))</f>
        <v/>
      </c>
      <c r="G26" s="960" t="str">
        <f ca="1">IF(ROWS($1:15)&gt;COUNT(Dong2),"",IF(AND(IF($M$9="Q4",RIGHT(OFFSET(TH!G$1,SMALL(Dong2,ROWS($1:15)),),2)=$M$9,RIGHT(OFFSET(TH!G$1,SMALL(Dong2,ROWS($1:15)),),3)=$M$9),OFFSET(TH!O$1,SMALL(Dong2,ROWS($1:15)),)=$I$6),IF($I$6="1121",OFFSET(TH!M$1,SMALL(Dong2,ROWS($1:15)),),OFFSET(TH!K$1,SMALL(Dong2,ROWS($1:15)),)),0))</f>
        <v/>
      </c>
      <c r="H26" s="957">
        <f t="shared" ca="1" si="0"/>
        <v>0</v>
      </c>
      <c r="I26" s="957"/>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8" t="str">
        <f ca="1">IF(ROWS($1:16)&gt;COUNT(Dong2),"",OFFSET(TH!F$1,SMALL(Dong2,ROWS($1:16)),))</f>
        <v/>
      </c>
      <c r="E27" s="203" t="str">
        <f ca="1">IF(ROWS($1:16)&gt;COUNT(Dong2),"",IF(OFFSET(TH!O$1,SMALL(Dong2,ROWS($1:16)),)=$I$6,OFFSET(TH!N$1,SMALL(Dong2,ROWS($1:16)),),OFFSET(TH!O$1,SMALL(Dong2,ROWS($1:16)),)))</f>
        <v/>
      </c>
      <c r="F27" s="960" t="str">
        <f ca="1">IF(ROWS($1:16)&gt;COUNT(Dong2),"",IF(AND(IF($M$9="Q4",LEFT(OFFSET(TH!G$1,SMALL(Dong2,ROWS($1:16)),),2)=$M$9,LEFT(OFFSET(TH!G$1,SMALL(Dong2,ROWS($1:16)),),3)=$M$9),OFFSET(TH!N$1,SMALL(Dong2,ROWS($1:16)),)=$I$6),IF($I$6="1121",OFFSET(TH!M$1,SMALL(Dong2,ROWS($1:16)),),OFFSET(TH!K$1,SMALL(Dong2,ROWS($1:16)),)),0))</f>
        <v/>
      </c>
      <c r="G27" s="960" t="str">
        <f ca="1">IF(ROWS($1:16)&gt;COUNT(Dong2),"",IF(AND(IF($M$9="Q4",RIGHT(OFFSET(TH!G$1,SMALL(Dong2,ROWS($1:16)),),2)=$M$9,RIGHT(OFFSET(TH!G$1,SMALL(Dong2,ROWS($1:16)),),3)=$M$9),OFFSET(TH!O$1,SMALL(Dong2,ROWS($1:16)),)=$I$6),IF($I$6="1121",OFFSET(TH!M$1,SMALL(Dong2,ROWS($1:16)),),OFFSET(TH!K$1,SMALL(Dong2,ROWS($1:16)),)),0))</f>
        <v/>
      </c>
      <c r="H27" s="957">
        <f t="shared" ca="1" si="0"/>
        <v>0</v>
      </c>
      <c r="I27" s="957"/>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8" t="str">
        <f ca="1">IF(ROWS($1:17)&gt;COUNT(Dong2),"",OFFSET(TH!F$1,SMALL(Dong2,ROWS($1:17)),))</f>
        <v/>
      </c>
      <c r="E28" s="203" t="str">
        <f ca="1">IF(ROWS($1:17)&gt;COUNT(Dong2),"",IF(OFFSET(TH!O$1,SMALL(Dong2,ROWS($1:17)),)=$I$6,OFFSET(TH!N$1,SMALL(Dong2,ROWS($1:17)),),OFFSET(TH!O$1,SMALL(Dong2,ROWS($1:17)),)))</f>
        <v/>
      </c>
      <c r="F28" s="960" t="str">
        <f ca="1">IF(ROWS($1:17)&gt;COUNT(Dong2),"",IF(AND(IF($M$9="Q4",LEFT(OFFSET(TH!G$1,SMALL(Dong2,ROWS($1:17)),),2)=$M$9,LEFT(OFFSET(TH!G$1,SMALL(Dong2,ROWS($1:17)),),3)=$M$9),OFFSET(TH!N$1,SMALL(Dong2,ROWS($1:17)),)=$I$6),IF($I$6="1121",OFFSET(TH!M$1,SMALL(Dong2,ROWS($1:17)),),OFFSET(TH!K$1,SMALL(Dong2,ROWS($1:17)),)),0))</f>
        <v/>
      </c>
      <c r="G28" s="960" t="str">
        <f ca="1">IF(ROWS($1:17)&gt;COUNT(Dong2),"",IF(AND(IF($M$9="Q4",RIGHT(OFFSET(TH!G$1,SMALL(Dong2,ROWS($1:17)),),2)=$M$9,RIGHT(OFFSET(TH!G$1,SMALL(Dong2,ROWS($1:17)),),3)=$M$9),OFFSET(TH!O$1,SMALL(Dong2,ROWS($1:17)),)=$I$6),IF($I$6="1121",OFFSET(TH!M$1,SMALL(Dong2,ROWS($1:17)),),OFFSET(TH!K$1,SMALL(Dong2,ROWS($1:17)),)),0))</f>
        <v/>
      </c>
      <c r="H28" s="957">
        <f t="shared" ca="1" si="0"/>
        <v>0</v>
      </c>
      <c r="I28" s="957"/>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8" t="str">
        <f ca="1">IF(ROWS($1:18)&gt;COUNT(Dong2),"",OFFSET(TH!F$1,SMALL(Dong2,ROWS($1:18)),))</f>
        <v/>
      </c>
      <c r="E29" s="203" t="str">
        <f ca="1">IF(ROWS($1:18)&gt;COUNT(Dong2),"",IF(OFFSET(TH!O$1,SMALL(Dong2,ROWS($1:18)),)=$I$6,OFFSET(TH!N$1,SMALL(Dong2,ROWS($1:18)),),OFFSET(TH!O$1,SMALL(Dong2,ROWS($1:18)),)))</f>
        <v/>
      </c>
      <c r="F29" s="960" t="str">
        <f ca="1">IF(ROWS($1:18)&gt;COUNT(Dong2),"",IF(AND(IF($M$9="Q4",LEFT(OFFSET(TH!G$1,SMALL(Dong2,ROWS($1:18)),),2)=$M$9,LEFT(OFFSET(TH!G$1,SMALL(Dong2,ROWS($1:18)),),3)=$M$9),OFFSET(TH!N$1,SMALL(Dong2,ROWS($1:18)),)=$I$6),IF($I$6="1121",OFFSET(TH!M$1,SMALL(Dong2,ROWS($1:18)),),OFFSET(TH!K$1,SMALL(Dong2,ROWS($1:18)),)),0))</f>
        <v/>
      </c>
      <c r="G29" s="960" t="str">
        <f ca="1">IF(ROWS($1:18)&gt;COUNT(Dong2),"",IF(AND(IF($M$9="Q4",RIGHT(OFFSET(TH!G$1,SMALL(Dong2,ROWS($1:18)),),2)=$M$9,RIGHT(OFFSET(TH!G$1,SMALL(Dong2,ROWS($1:18)),),3)=$M$9),OFFSET(TH!O$1,SMALL(Dong2,ROWS($1:18)),)=$I$6),IF($I$6="1121",OFFSET(TH!M$1,SMALL(Dong2,ROWS($1:18)),),OFFSET(TH!K$1,SMALL(Dong2,ROWS($1:18)),)),0))</f>
        <v/>
      </c>
      <c r="H29" s="957">
        <f t="shared" ca="1" si="0"/>
        <v>0</v>
      </c>
      <c r="I29" s="957"/>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8" t="str">
        <f ca="1">IF(ROWS($1:19)&gt;COUNT(Dong2),"",OFFSET(TH!F$1,SMALL(Dong2,ROWS($1:19)),))</f>
        <v/>
      </c>
      <c r="E30" s="203" t="str">
        <f ca="1">IF(ROWS($1:19)&gt;COUNT(Dong2),"",IF(OFFSET(TH!O$1,SMALL(Dong2,ROWS($1:19)),)=$I$6,OFFSET(TH!N$1,SMALL(Dong2,ROWS($1:19)),),OFFSET(TH!O$1,SMALL(Dong2,ROWS($1:19)),)))</f>
        <v/>
      </c>
      <c r="F30" s="960" t="str">
        <f ca="1">IF(ROWS($1:19)&gt;COUNT(Dong2),"",IF(AND(IF($M$9="Q4",LEFT(OFFSET(TH!G$1,SMALL(Dong2,ROWS($1:19)),),2)=$M$9,LEFT(OFFSET(TH!G$1,SMALL(Dong2,ROWS($1:19)),),3)=$M$9),OFFSET(TH!N$1,SMALL(Dong2,ROWS($1:19)),)=$I$6),IF($I$6="1121",OFFSET(TH!M$1,SMALL(Dong2,ROWS($1:19)),),OFFSET(TH!K$1,SMALL(Dong2,ROWS($1:19)),)),0))</f>
        <v/>
      </c>
      <c r="G30" s="960" t="str">
        <f ca="1">IF(ROWS($1:19)&gt;COUNT(Dong2),"",IF(AND(IF($M$9="Q4",RIGHT(OFFSET(TH!G$1,SMALL(Dong2,ROWS($1:19)),),2)=$M$9,RIGHT(OFFSET(TH!G$1,SMALL(Dong2,ROWS($1:19)),),3)=$M$9),OFFSET(TH!O$1,SMALL(Dong2,ROWS($1:19)),)=$I$6),IF($I$6="1121",OFFSET(TH!M$1,SMALL(Dong2,ROWS($1:19)),),OFFSET(TH!K$1,SMALL(Dong2,ROWS($1:19)),)),0))</f>
        <v/>
      </c>
      <c r="H30" s="957">
        <f t="shared" ca="1" si="0"/>
        <v>0</v>
      </c>
      <c r="I30" s="957"/>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8" t="str">
        <f ca="1">IF(ROWS($1:20)&gt;COUNT(Dong2),"",OFFSET(TH!F$1,SMALL(Dong2,ROWS($1:20)),))</f>
        <v/>
      </c>
      <c r="E31" s="203" t="str">
        <f ca="1">IF(ROWS($1:20)&gt;COUNT(Dong2),"",IF(OFFSET(TH!O$1,SMALL(Dong2,ROWS($1:20)),)=$I$6,OFFSET(TH!N$1,SMALL(Dong2,ROWS($1:20)),),OFFSET(TH!O$1,SMALL(Dong2,ROWS($1:20)),)))</f>
        <v/>
      </c>
      <c r="F31" s="960" t="str">
        <f ca="1">IF(ROWS($1:20)&gt;COUNT(Dong2),"",IF(AND(IF($M$9="Q4",LEFT(OFFSET(TH!G$1,SMALL(Dong2,ROWS($1:20)),),2)=$M$9,LEFT(OFFSET(TH!G$1,SMALL(Dong2,ROWS($1:20)),),3)=$M$9),OFFSET(TH!N$1,SMALL(Dong2,ROWS($1:20)),)=$I$6),IF($I$6="1121",OFFSET(TH!M$1,SMALL(Dong2,ROWS($1:20)),),OFFSET(TH!K$1,SMALL(Dong2,ROWS($1:20)),)),0))</f>
        <v/>
      </c>
      <c r="G31" s="960" t="str">
        <f ca="1">IF(ROWS($1:20)&gt;COUNT(Dong2),"",IF(AND(IF($M$9="Q4",RIGHT(OFFSET(TH!G$1,SMALL(Dong2,ROWS($1:20)),),2)=$M$9,RIGHT(OFFSET(TH!G$1,SMALL(Dong2,ROWS($1:20)),),3)=$M$9),OFFSET(TH!O$1,SMALL(Dong2,ROWS($1:20)),)=$I$6),IF($I$6="1121",OFFSET(TH!M$1,SMALL(Dong2,ROWS($1:20)),),OFFSET(TH!K$1,SMALL(Dong2,ROWS($1:20)),)),0))</f>
        <v/>
      </c>
      <c r="H31" s="957">
        <f t="shared" ca="1" si="0"/>
        <v>0</v>
      </c>
      <c r="I31" s="957"/>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8" t="str">
        <f ca="1">IF(ROWS($1:21)&gt;COUNT(Dong2),"",OFFSET(TH!F$1,SMALL(Dong2,ROWS($1:21)),))</f>
        <v/>
      </c>
      <c r="E32" s="203" t="str">
        <f ca="1">IF(ROWS($1:21)&gt;COUNT(Dong2),"",IF(OFFSET(TH!O$1,SMALL(Dong2,ROWS($1:21)),)=$I$6,OFFSET(TH!N$1,SMALL(Dong2,ROWS($1:21)),),OFFSET(TH!O$1,SMALL(Dong2,ROWS($1:21)),)))</f>
        <v/>
      </c>
      <c r="F32" s="960" t="str">
        <f ca="1">IF(ROWS($1:21)&gt;COUNT(Dong2),"",IF(AND(IF($M$9="Q4",LEFT(OFFSET(TH!G$1,SMALL(Dong2,ROWS($1:21)),),2)=$M$9,LEFT(OFFSET(TH!G$1,SMALL(Dong2,ROWS($1:21)),),3)=$M$9),OFFSET(TH!N$1,SMALL(Dong2,ROWS($1:21)),)=$I$6),IF($I$6="1121",OFFSET(TH!M$1,SMALL(Dong2,ROWS($1:21)),),OFFSET(TH!K$1,SMALL(Dong2,ROWS($1:21)),)),0))</f>
        <v/>
      </c>
      <c r="G32" s="960" t="str">
        <f ca="1">IF(ROWS($1:21)&gt;COUNT(Dong2),"",IF(AND(IF($M$9="Q4",RIGHT(OFFSET(TH!G$1,SMALL(Dong2,ROWS($1:21)),),2)=$M$9,RIGHT(OFFSET(TH!G$1,SMALL(Dong2,ROWS($1:21)),),3)=$M$9),OFFSET(TH!O$1,SMALL(Dong2,ROWS($1:21)),)=$I$6),IF($I$6="1121",OFFSET(TH!M$1,SMALL(Dong2,ROWS($1:21)),),OFFSET(TH!K$1,SMALL(Dong2,ROWS($1:21)),)),0))</f>
        <v/>
      </c>
      <c r="H32" s="957">
        <f t="shared" ca="1" si="0"/>
        <v>0</v>
      </c>
      <c r="I32" s="957"/>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8" t="str">
        <f ca="1">IF(ROWS($1:22)&gt;COUNT(Dong2),"",OFFSET(TH!F$1,SMALL(Dong2,ROWS($1:22)),))</f>
        <v/>
      </c>
      <c r="E33" s="203" t="str">
        <f ca="1">IF(ROWS($1:22)&gt;COUNT(Dong2),"",IF(OFFSET(TH!O$1,SMALL(Dong2,ROWS($1:22)),)=$I$6,OFFSET(TH!N$1,SMALL(Dong2,ROWS($1:22)),),OFFSET(TH!O$1,SMALL(Dong2,ROWS($1:22)),)))</f>
        <v/>
      </c>
      <c r="F33" s="960" t="str">
        <f ca="1">IF(ROWS($1:22)&gt;COUNT(Dong2),"",IF(AND(IF($M$9="Q4",LEFT(OFFSET(TH!G$1,SMALL(Dong2,ROWS($1:22)),),2)=$M$9,LEFT(OFFSET(TH!G$1,SMALL(Dong2,ROWS($1:22)),),3)=$M$9),OFFSET(TH!N$1,SMALL(Dong2,ROWS($1:22)),)=$I$6),IF($I$6="1121",OFFSET(TH!M$1,SMALL(Dong2,ROWS($1:22)),),OFFSET(TH!K$1,SMALL(Dong2,ROWS($1:22)),)),0))</f>
        <v/>
      </c>
      <c r="G33" s="960" t="str">
        <f ca="1">IF(ROWS($1:22)&gt;COUNT(Dong2),"",IF(AND(IF($M$9="Q4",RIGHT(OFFSET(TH!G$1,SMALL(Dong2,ROWS($1:22)),),2)=$M$9,RIGHT(OFFSET(TH!G$1,SMALL(Dong2,ROWS($1:22)),),3)=$M$9),OFFSET(TH!O$1,SMALL(Dong2,ROWS($1:22)),)=$I$6),IF($I$6="1121",OFFSET(TH!M$1,SMALL(Dong2,ROWS($1:22)),),OFFSET(TH!K$1,SMALL(Dong2,ROWS($1:22)),)),0))</f>
        <v/>
      </c>
      <c r="H33" s="957">
        <f t="shared" ca="1" si="0"/>
        <v>0</v>
      </c>
      <c r="I33" s="957"/>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8" t="str">
        <f ca="1">IF(ROWS($1:23)&gt;COUNT(Dong2),"",OFFSET(TH!F$1,SMALL(Dong2,ROWS($1:23)),))</f>
        <v/>
      </c>
      <c r="E34" s="203" t="str">
        <f ca="1">IF(ROWS($1:23)&gt;COUNT(Dong2),"",IF(OFFSET(TH!O$1,SMALL(Dong2,ROWS($1:23)),)=$I$6,OFFSET(TH!N$1,SMALL(Dong2,ROWS($1:23)),),OFFSET(TH!O$1,SMALL(Dong2,ROWS($1:23)),)))</f>
        <v/>
      </c>
      <c r="F34" s="960" t="str">
        <f ca="1">IF(ROWS($1:23)&gt;COUNT(Dong2),"",IF(AND(IF($M$9="Q4",LEFT(OFFSET(TH!G$1,SMALL(Dong2,ROWS($1:23)),),2)=$M$9,LEFT(OFFSET(TH!G$1,SMALL(Dong2,ROWS($1:23)),),3)=$M$9),OFFSET(TH!N$1,SMALL(Dong2,ROWS($1:23)),)=$I$6),IF($I$6="1121",OFFSET(TH!M$1,SMALL(Dong2,ROWS($1:23)),),OFFSET(TH!K$1,SMALL(Dong2,ROWS($1:23)),)),0))</f>
        <v/>
      </c>
      <c r="G34" s="960" t="str">
        <f ca="1">IF(ROWS($1:23)&gt;COUNT(Dong2),"",IF(AND(IF($M$9="Q4",RIGHT(OFFSET(TH!G$1,SMALL(Dong2,ROWS($1:23)),),2)=$M$9,RIGHT(OFFSET(TH!G$1,SMALL(Dong2,ROWS($1:23)),),3)=$M$9),OFFSET(TH!O$1,SMALL(Dong2,ROWS($1:23)),)=$I$6),IF($I$6="1121",OFFSET(TH!M$1,SMALL(Dong2,ROWS($1:23)),),OFFSET(TH!K$1,SMALL(Dong2,ROWS($1:23)),)),0))</f>
        <v/>
      </c>
      <c r="H34" s="957">
        <f t="shared" ca="1" si="0"/>
        <v>0</v>
      </c>
      <c r="I34" s="957"/>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8" t="str">
        <f ca="1">IF(ROWS($1:24)&gt;COUNT(Dong2),"",OFFSET(TH!F$1,SMALL(Dong2,ROWS($1:24)),))</f>
        <v/>
      </c>
      <c r="E35" s="203" t="str">
        <f ca="1">IF(ROWS($1:24)&gt;COUNT(Dong2),"",IF(OFFSET(TH!O$1,SMALL(Dong2,ROWS($1:24)),)=$I$6,OFFSET(TH!N$1,SMALL(Dong2,ROWS($1:24)),),OFFSET(TH!O$1,SMALL(Dong2,ROWS($1:24)),)))</f>
        <v/>
      </c>
      <c r="F35" s="960" t="str">
        <f ca="1">IF(ROWS($1:24)&gt;COUNT(Dong2),"",IF(AND(IF($M$9="Q4",LEFT(OFFSET(TH!G$1,SMALL(Dong2,ROWS($1:24)),),2)=$M$9,LEFT(OFFSET(TH!G$1,SMALL(Dong2,ROWS($1:24)),),3)=$M$9),OFFSET(TH!N$1,SMALL(Dong2,ROWS($1:24)),)=$I$6),IF($I$6="1121",OFFSET(TH!M$1,SMALL(Dong2,ROWS($1:24)),),OFFSET(TH!K$1,SMALL(Dong2,ROWS($1:24)),)),0))</f>
        <v/>
      </c>
      <c r="G35" s="960" t="str">
        <f ca="1">IF(ROWS($1:24)&gt;COUNT(Dong2),"",IF(AND(IF($M$9="Q4",RIGHT(OFFSET(TH!G$1,SMALL(Dong2,ROWS($1:24)),),2)=$M$9,RIGHT(OFFSET(TH!G$1,SMALL(Dong2,ROWS($1:24)),),3)=$M$9),OFFSET(TH!O$1,SMALL(Dong2,ROWS($1:24)),)=$I$6),IF($I$6="1121",OFFSET(TH!M$1,SMALL(Dong2,ROWS($1:24)),),OFFSET(TH!K$1,SMALL(Dong2,ROWS($1:24)),)),0))</f>
        <v/>
      </c>
      <c r="H35" s="957">
        <f t="shared" ca="1" si="0"/>
        <v>0</v>
      </c>
      <c r="I35" s="957"/>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8" t="str">
        <f ca="1">IF(ROWS($1:25)&gt;COUNT(Dong2),"",OFFSET(TH!F$1,SMALL(Dong2,ROWS($1:25)),))</f>
        <v/>
      </c>
      <c r="E36" s="203" t="str">
        <f ca="1">IF(ROWS($1:25)&gt;COUNT(Dong2),"",IF(OFFSET(TH!O$1,SMALL(Dong2,ROWS($1:25)),)=$I$6,OFFSET(TH!N$1,SMALL(Dong2,ROWS($1:25)),),OFFSET(TH!O$1,SMALL(Dong2,ROWS($1:25)),)))</f>
        <v/>
      </c>
      <c r="F36" s="960" t="str">
        <f ca="1">IF(ROWS($1:25)&gt;COUNT(Dong2),"",IF(AND(IF($M$9="Q4",LEFT(OFFSET(TH!G$1,SMALL(Dong2,ROWS($1:25)),),2)=$M$9,LEFT(OFFSET(TH!G$1,SMALL(Dong2,ROWS($1:25)),),3)=$M$9),OFFSET(TH!N$1,SMALL(Dong2,ROWS($1:25)),)=$I$6),IF($I$6="1121",OFFSET(TH!M$1,SMALL(Dong2,ROWS($1:25)),),OFFSET(TH!K$1,SMALL(Dong2,ROWS($1:25)),)),0))</f>
        <v/>
      </c>
      <c r="G36" s="960" t="str">
        <f ca="1">IF(ROWS($1:25)&gt;COUNT(Dong2),"",IF(AND(IF($M$9="Q4",RIGHT(OFFSET(TH!G$1,SMALL(Dong2,ROWS($1:25)),),2)=$M$9,RIGHT(OFFSET(TH!G$1,SMALL(Dong2,ROWS($1:25)),),3)=$M$9),OFFSET(TH!O$1,SMALL(Dong2,ROWS($1:25)),)=$I$6),IF($I$6="1121",OFFSET(TH!M$1,SMALL(Dong2,ROWS($1:25)),),OFFSET(TH!K$1,SMALL(Dong2,ROWS($1:25)),)),0))</f>
        <v/>
      </c>
      <c r="H36" s="957">
        <f t="shared" ca="1" si="0"/>
        <v>0</v>
      </c>
      <c r="I36" s="957"/>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8" t="str">
        <f ca="1">IF(ROWS($1:26)&gt;COUNT(Dong2),"",OFFSET(TH!F$1,SMALL(Dong2,ROWS($1:26)),))</f>
        <v/>
      </c>
      <c r="E37" s="203" t="str">
        <f ca="1">IF(ROWS($1:26)&gt;COUNT(Dong2),"",IF(OFFSET(TH!O$1,SMALL(Dong2,ROWS($1:26)),)=$I$6,OFFSET(TH!N$1,SMALL(Dong2,ROWS($1:26)),),OFFSET(TH!O$1,SMALL(Dong2,ROWS($1:26)),)))</f>
        <v/>
      </c>
      <c r="F37" s="960" t="str">
        <f ca="1">IF(ROWS($1:26)&gt;COUNT(Dong2),"",IF(AND(IF($M$9="Q4",LEFT(OFFSET(TH!G$1,SMALL(Dong2,ROWS($1:26)),),2)=$M$9,LEFT(OFFSET(TH!G$1,SMALL(Dong2,ROWS($1:26)),),3)=$M$9),OFFSET(TH!N$1,SMALL(Dong2,ROWS($1:26)),)=$I$6),IF($I$6="1121",OFFSET(TH!M$1,SMALL(Dong2,ROWS($1:26)),),OFFSET(TH!K$1,SMALL(Dong2,ROWS($1:26)),)),0))</f>
        <v/>
      </c>
      <c r="G37" s="960" t="str">
        <f ca="1">IF(ROWS($1:26)&gt;COUNT(Dong2),"",IF(AND(IF($M$9="Q4",RIGHT(OFFSET(TH!G$1,SMALL(Dong2,ROWS($1:26)),),2)=$M$9,RIGHT(OFFSET(TH!G$1,SMALL(Dong2,ROWS($1:26)),),3)=$M$9),OFFSET(TH!O$1,SMALL(Dong2,ROWS($1:26)),)=$I$6),IF($I$6="1121",OFFSET(TH!M$1,SMALL(Dong2,ROWS($1:26)),),OFFSET(TH!K$1,SMALL(Dong2,ROWS($1:26)),)),0))</f>
        <v/>
      </c>
      <c r="H37" s="957">
        <f t="shared" ca="1" si="0"/>
        <v>0</v>
      </c>
      <c r="I37" s="957"/>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8" t="str">
        <f ca="1">IF(ROWS($1:27)&gt;COUNT(Dong2),"",OFFSET(TH!F$1,SMALL(Dong2,ROWS($1:27)),))</f>
        <v/>
      </c>
      <c r="E38" s="203" t="str">
        <f ca="1">IF(ROWS($1:27)&gt;COUNT(Dong2),"",IF(OFFSET(TH!O$1,SMALL(Dong2,ROWS($1:27)),)=$I$6,OFFSET(TH!N$1,SMALL(Dong2,ROWS($1:27)),),OFFSET(TH!O$1,SMALL(Dong2,ROWS($1:27)),)))</f>
        <v/>
      </c>
      <c r="F38" s="960" t="str">
        <f ca="1">IF(ROWS($1:27)&gt;COUNT(Dong2),"",IF(AND(IF($M$9="Q4",LEFT(OFFSET(TH!G$1,SMALL(Dong2,ROWS($1:27)),),2)=$M$9,LEFT(OFFSET(TH!G$1,SMALL(Dong2,ROWS($1:27)),),3)=$M$9),OFFSET(TH!N$1,SMALL(Dong2,ROWS($1:27)),)=$I$6),IF($I$6="1121",OFFSET(TH!M$1,SMALL(Dong2,ROWS($1:27)),),OFFSET(TH!K$1,SMALL(Dong2,ROWS($1:27)),)),0))</f>
        <v/>
      </c>
      <c r="G38" s="960" t="str">
        <f ca="1">IF(ROWS($1:27)&gt;COUNT(Dong2),"",IF(AND(IF($M$9="Q4",RIGHT(OFFSET(TH!G$1,SMALL(Dong2,ROWS($1:27)),),2)=$M$9,RIGHT(OFFSET(TH!G$1,SMALL(Dong2,ROWS($1:27)),),3)=$M$9),OFFSET(TH!O$1,SMALL(Dong2,ROWS($1:27)),)=$I$6),IF($I$6="1121",OFFSET(TH!M$1,SMALL(Dong2,ROWS($1:27)),),OFFSET(TH!K$1,SMALL(Dong2,ROWS($1:27)),)),0))</f>
        <v/>
      </c>
      <c r="H38" s="957">
        <f t="shared" ca="1" si="0"/>
        <v>0</v>
      </c>
      <c r="I38" s="957"/>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8" t="str">
        <f ca="1">IF(ROWS($1:28)&gt;COUNT(Dong2),"",OFFSET(TH!F$1,SMALL(Dong2,ROWS($1:28)),))</f>
        <v/>
      </c>
      <c r="E39" s="203" t="str">
        <f ca="1">IF(ROWS($1:28)&gt;COUNT(Dong2),"",IF(OFFSET(TH!O$1,SMALL(Dong2,ROWS($1:28)),)=$I$6,OFFSET(TH!N$1,SMALL(Dong2,ROWS($1:28)),),OFFSET(TH!O$1,SMALL(Dong2,ROWS($1:28)),)))</f>
        <v/>
      </c>
      <c r="F39" s="960" t="str">
        <f ca="1">IF(ROWS($1:28)&gt;COUNT(Dong2),"",IF(AND(IF($M$9="Q4",LEFT(OFFSET(TH!G$1,SMALL(Dong2,ROWS($1:28)),),2)=$M$9,LEFT(OFFSET(TH!G$1,SMALL(Dong2,ROWS($1:28)),),3)=$M$9),OFFSET(TH!N$1,SMALL(Dong2,ROWS($1:28)),)=$I$6),IF($I$6="1121",OFFSET(TH!M$1,SMALL(Dong2,ROWS($1:28)),),OFFSET(TH!K$1,SMALL(Dong2,ROWS($1:28)),)),0))</f>
        <v/>
      </c>
      <c r="G39" s="960" t="str">
        <f ca="1">IF(ROWS($1:28)&gt;COUNT(Dong2),"",IF(AND(IF($M$9="Q4",RIGHT(OFFSET(TH!G$1,SMALL(Dong2,ROWS($1:28)),),2)=$M$9,RIGHT(OFFSET(TH!G$1,SMALL(Dong2,ROWS($1:28)),),3)=$M$9),OFFSET(TH!O$1,SMALL(Dong2,ROWS($1:28)),)=$I$6),IF($I$6="1121",OFFSET(TH!M$1,SMALL(Dong2,ROWS($1:28)),),OFFSET(TH!K$1,SMALL(Dong2,ROWS($1:28)),)),0))</f>
        <v/>
      </c>
      <c r="H39" s="957">
        <f t="shared" ca="1" si="0"/>
        <v>0</v>
      </c>
      <c r="I39" s="957"/>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8" t="str">
        <f ca="1">IF(ROWS($1:29)&gt;COUNT(Dong2),"",OFFSET(TH!F$1,SMALL(Dong2,ROWS($1:29)),))</f>
        <v/>
      </c>
      <c r="E40" s="203" t="str">
        <f ca="1">IF(ROWS($1:29)&gt;COUNT(Dong2),"",IF(OFFSET(TH!O$1,SMALL(Dong2,ROWS($1:29)),)=$I$6,OFFSET(TH!N$1,SMALL(Dong2,ROWS($1:29)),),OFFSET(TH!O$1,SMALL(Dong2,ROWS($1:29)),)))</f>
        <v/>
      </c>
      <c r="F40" s="960" t="str">
        <f ca="1">IF(ROWS($1:29)&gt;COUNT(Dong2),"",IF(AND(IF($M$9="Q4",LEFT(OFFSET(TH!G$1,SMALL(Dong2,ROWS($1:29)),),2)=$M$9,LEFT(OFFSET(TH!G$1,SMALL(Dong2,ROWS($1:29)),),3)=$M$9),OFFSET(TH!N$1,SMALL(Dong2,ROWS($1:29)),)=$I$6),IF($I$6="1121",OFFSET(TH!M$1,SMALL(Dong2,ROWS($1:29)),),OFFSET(TH!K$1,SMALL(Dong2,ROWS($1:29)),)),0))</f>
        <v/>
      </c>
      <c r="G40" s="960" t="str">
        <f ca="1">IF(ROWS($1:29)&gt;COUNT(Dong2),"",IF(AND(IF($M$9="Q4",RIGHT(OFFSET(TH!G$1,SMALL(Dong2,ROWS($1:29)),),2)=$M$9,RIGHT(OFFSET(TH!G$1,SMALL(Dong2,ROWS($1:29)),),3)=$M$9),OFFSET(TH!O$1,SMALL(Dong2,ROWS($1:29)),)=$I$6),IF($I$6="1121",OFFSET(TH!M$1,SMALL(Dong2,ROWS($1:29)),),OFFSET(TH!K$1,SMALL(Dong2,ROWS($1:29)),)),0))</f>
        <v/>
      </c>
      <c r="H40" s="957">
        <f t="shared" ca="1" si="0"/>
        <v>0</v>
      </c>
      <c r="I40" s="957"/>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8" t="str">
        <f ca="1">IF(ROWS($1:30)&gt;COUNT(Dong2),"",OFFSET(TH!F$1,SMALL(Dong2,ROWS($1:30)),))</f>
        <v/>
      </c>
      <c r="E41" s="203" t="str">
        <f ca="1">IF(ROWS($1:30)&gt;COUNT(Dong2),"",IF(OFFSET(TH!O$1,SMALL(Dong2,ROWS($1:30)),)=$I$6,OFFSET(TH!N$1,SMALL(Dong2,ROWS($1:30)),),OFFSET(TH!O$1,SMALL(Dong2,ROWS($1:30)),)))</f>
        <v/>
      </c>
      <c r="F41" s="960" t="str">
        <f ca="1">IF(ROWS($1:30)&gt;COUNT(Dong2),"",IF(AND(IF($M$9="Q4",LEFT(OFFSET(TH!G$1,SMALL(Dong2,ROWS($1:30)),),2)=$M$9,LEFT(OFFSET(TH!G$1,SMALL(Dong2,ROWS($1:30)),),3)=$M$9),OFFSET(TH!N$1,SMALL(Dong2,ROWS($1:30)),)=$I$6),IF($I$6="1121",OFFSET(TH!M$1,SMALL(Dong2,ROWS($1:30)),),OFFSET(TH!K$1,SMALL(Dong2,ROWS($1:30)),)),0))</f>
        <v/>
      </c>
      <c r="G41" s="960" t="str">
        <f ca="1">IF(ROWS($1:30)&gt;COUNT(Dong2),"",IF(AND(IF($M$9="Q4",RIGHT(OFFSET(TH!G$1,SMALL(Dong2,ROWS($1:30)),),2)=$M$9,RIGHT(OFFSET(TH!G$1,SMALL(Dong2,ROWS($1:30)),),3)=$M$9),OFFSET(TH!O$1,SMALL(Dong2,ROWS($1:30)),)=$I$6),IF($I$6="1121",OFFSET(TH!M$1,SMALL(Dong2,ROWS($1:30)),),OFFSET(TH!K$1,SMALL(Dong2,ROWS($1:30)),)),0))</f>
        <v/>
      </c>
      <c r="H41" s="957">
        <f t="shared" ca="1" si="0"/>
        <v>0</v>
      </c>
      <c r="I41" s="957"/>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8" t="str">
        <f ca="1">IF(ROWS($1:31)&gt;COUNT(Dong2),"",OFFSET(TH!F$1,SMALL(Dong2,ROWS($1:31)),))</f>
        <v/>
      </c>
      <c r="E42" s="203" t="str">
        <f ca="1">IF(ROWS($1:31)&gt;COUNT(Dong2),"",IF(OFFSET(TH!O$1,SMALL(Dong2,ROWS($1:31)),)=$I$6,OFFSET(TH!N$1,SMALL(Dong2,ROWS($1:31)),),OFFSET(TH!O$1,SMALL(Dong2,ROWS($1:31)),)))</f>
        <v/>
      </c>
      <c r="F42" s="960" t="str">
        <f ca="1">IF(ROWS($1:31)&gt;COUNT(Dong2),"",IF(AND(IF($M$9="Q4",LEFT(OFFSET(TH!G$1,SMALL(Dong2,ROWS($1:31)),),2)=$M$9,LEFT(OFFSET(TH!G$1,SMALL(Dong2,ROWS($1:31)),),3)=$M$9),OFFSET(TH!N$1,SMALL(Dong2,ROWS($1:31)),)=$I$6),IF($I$6="1121",OFFSET(TH!M$1,SMALL(Dong2,ROWS($1:31)),),OFFSET(TH!K$1,SMALL(Dong2,ROWS($1:31)),)),0))</f>
        <v/>
      </c>
      <c r="G42" s="960" t="str">
        <f ca="1">IF(ROWS($1:31)&gt;COUNT(Dong2),"",IF(AND(IF($M$9="Q4",RIGHT(OFFSET(TH!G$1,SMALL(Dong2,ROWS($1:31)),),2)=$M$9,RIGHT(OFFSET(TH!G$1,SMALL(Dong2,ROWS($1:31)),),3)=$M$9),OFFSET(TH!O$1,SMALL(Dong2,ROWS($1:31)),)=$I$6),IF($I$6="1121",OFFSET(TH!M$1,SMALL(Dong2,ROWS($1:31)),),OFFSET(TH!K$1,SMALL(Dong2,ROWS($1:31)),)),0))</f>
        <v/>
      </c>
      <c r="H42" s="957">
        <f t="shared" ca="1" si="0"/>
        <v>0</v>
      </c>
      <c r="I42" s="957"/>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8" t="str">
        <f ca="1">IF(ROWS($1:32)&gt;COUNT(Dong2),"",OFFSET(TH!F$1,SMALL(Dong2,ROWS($1:32)),))</f>
        <v/>
      </c>
      <c r="E43" s="203" t="str">
        <f ca="1">IF(ROWS($1:32)&gt;COUNT(Dong2),"",IF(OFFSET(TH!O$1,SMALL(Dong2,ROWS($1:32)),)=$I$6,OFFSET(TH!N$1,SMALL(Dong2,ROWS($1:32)),),OFFSET(TH!O$1,SMALL(Dong2,ROWS($1:32)),)))</f>
        <v/>
      </c>
      <c r="F43" s="960" t="str">
        <f ca="1">IF(ROWS($1:32)&gt;COUNT(Dong2),"",IF(AND(IF($M$9="Q4",LEFT(OFFSET(TH!G$1,SMALL(Dong2,ROWS($1:32)),),2)=$M$9,LEFT(OFFSET(TH!G$1,SMALL(Dong2,ROWS($1:32)),),3)=$M$9),OFFSET(TH!N$1,SMALL(Dong2,ROWS($1:32)),)=$I$6),IF($I$6="1121",OFFSET(TH!M$1,SMALL(Dong2,ROWS($1:32)),),OFFSET(TH!K$1,SMALL(Dong2,ROWS($1:32)),)),0))</f>
        <v/>
      </c>
      <c r="G43" s="960" t="str">
        <f ca="1">IF(ROWS($1:32)&gt;COUNT(Dong2),"",IF(AND(IF($M$9="Q4",RIGHT(OFFSET(TH!G$1,SMALL(Dong2,ROWS($1:32)),),2)=$M$9,RIGHT(OFFSET(TH!G$1,SMALL(Dong2,ROWS($1:32)),),3)=$M$9),OFFSET(TH!O$1,SMALL(Dong2,ROWS($1:32)),)=$I$6),IF($I$6="1121",OFFSET(TH!M$1,SMALL(Dong2,ROWS($1:32)),),OFFSET(TH!K$1,SMALL(Dong2,ROWS($1:32)),)),0))</f>
        <v/>
      </c>
      <c r="H43" s="957">
        <f t="shared" ca="1" si="0"/>
        <v>0</v>
      </c>
      <c r="I43" s="957"/>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8" t="str">
        <f ca="1">IF(ROWS($1:33)&gt;COUNT(Dong2),"",OFFSET(TH!F$1,SMALL(Dong2,ROWS($1:33)),))</f>
        <v/>
      </c>
      <c r="E44" s="203" t="str">
        <f ca="1">IF(ROWS($1:33)&gt;COUNT(Dong2),"",IF(OFFSET(TH!O$1,SMALL(Dong2,ROWS($1:33)),)=$I$6,OFFSET(TH!N$1,SMALL(Dong2,ROWS($1:33)),),OFFSET(TH!O$1,SMALL(Dong2,ROWS($1:33)),)))</f>
        <v/>
      </c>
      <c r="F44" s="960" t="str">
        <f ca="1">IF(ROWS($1:33)&gt;COUNT(Dong2),"",IF(AND(IF($M$9="Q4",LEFT(OFFSET(TH!G$1,SMALL(Dong2,ROWS($1:33)),),2)=$M$9,LEFT(OFFSET(TH!G$1,SMALL(Dong2,ROWS($1:33)),),3)=$M$9),OFFSET(TH!N$1,SMALL(Dong2,ROWS($1:33)),)=$I$6),IF($I$6="1121",OFFSET(TH!M$1,SMALL(Dong2,ROWS($1:33)),),OFFSET(TH!K$1,SMALL(Dong2,ROWS($1:33)),)),0))</f>
        <v/>
      </c>
      <c r="G44" s="960" t="str">
        <f ca="1">IF(ROWS($1:33)&gt;COUNT(Dong2),"",IF(AND(IF($M$9="Q4",RIGHT(OFFSET(TH!G$1,SMALL(Dong2,ROWS($1:33)),),2)=$M$9,RIGHT(OFFSET(TH!G$1,SMALL(Dong2,ROWS($1:33)),),3)=$M$9),OFFSET(TH!O$1,SMALL(Dong2,ROWS($1:33)),)=$I$6),IF($I$6="1121",OFFSET(TH!M$1,SMALL(Dong2,ROWS($1:33)),),OFFSET(TH!K$1,SMALL(Dong2,ROWS($1:33)),)),0))</f>
        <v/>
      </c>
      <c r="H44" s="957">
        <f t="shared" ca="1" si="0"/>
        <v>0</v>
      </c>
      <c r="I44" s="957"/>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8" t="str">
        <f ca="1">IF(ROWS($1:34)&gt;COUNT(Dong2),"",OFFSET(TH!F$1,SMALL(Dong2,ROWS($1:34)),))</f>
        <v/>
      </c>
      <c r="E45" s="203" t="str">
        <f ca="1">IF(ROWS($1:34)&gt;COUNT(Dong2),"",IF(OFFSET(TH!O$1,SMALL(Dong2,ROWS($1:34)),)=$I$6,OFFSET(TH!N$1,SMALL(Dong2,ROWS($1:34)),),OFFSET(TH!O$1,SMALL(Dong2,ROWS($1:34)),)))</f>
        <v/>
      </c>
      <c r="F45" s="960" t="str">
        <f ca="1">IF(ROWS($1:34)&gt;COUNT(Dong2),"",IF(AND(IF($M$9="Q4",LEFT(OFFSET(TH!G$1,SMALL(Dong2,ROWS($1:34)),),2)=$M$9,LEFT(OFFSET(TH!G$1,SMALL(Dong2,ROWS($1:34)),),3)=$M$9),OFFSET(TH!N$1,SMALL(Dong2,ROWS($1:34)),)=$I$6),IF($I$6="1121",OFFSET(TH!M$1,SMALL(Dong2,ROWS($1:34)),),OFFSET(TH!K$1,SMALL(Dong2,ROWS($1:34)),)),0))</f>
        <v/>
      </c>
      <c r="G45" s="960" t="str">
        <f ca="1">IF(ROWS($1:34)&gt;COUNT(Dong2),"",IF(AND(IF($M$9="Q4",RIGHT(OFFSET(TH!G$1,SMALL(Dong2,ROWS($1:34)),),2)=$M$9,RIGHT(OFFSET(TH!G$1,SMALL(Dong2,ROWS($1:34)),),3)=$M$9),OFFSET(TH!O$1,SMALL(Dong2,ROWS($1:34)),)=$I$6),IF($I$6="1121",OFFSET(TH!M$1,SMALL(Dong2,ROWS($1:34)),),OFFSET(TH!K$1,SMALL(Dong2,ROWS($1:34)),)),0))</f>
        <v/>
      </c>
      <c r="H45" s="957">
        <f t="shared" ca="1" si="0"/>
        <v>0</v>
      </c>
      <c r="I45" s="957"/>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8" t="str">
        <f ca="1">IF(ROWS($1:35)&gt;COUNT(Dong2),"",OFFSET(TH!F$1,SMALL(Dong2,ROWS($1:35)),))</f>
        <v/>
      </c>
      <c r="E46" s="203" t="str">
        <f ca="1">IF(ROWS($1:35)&gt;COUNT(Dong2),"",IF(OFFSET(TH!O$1,SMALL(Dong2,ROWS($1:35)),)=$I$6,OFFSET(TH!N$1,SMALL(Dong2,ROWS($1:35)),),OFFSET(TH!O$1,SMALL(Dong2,ROWS($1:35)),)))</f>
        <v/>
      </c>
      <c r="F46" s="960" t="str">
        <f ca="1">IF(ROWS($1:35)&gt;COUNT(Dong2),"",IF(AND(IF($M$9="Q4",LEFT(OFFSET(TH!G$1,SMALL(Dong2,ROWS($1:35)),),2)=$M$9,LEFT(OFFSET(TH!G$1,SMALL(Dong2,ROWS($1:35)),),3)=$M$9),OFFSET(TH!N$1,SMALL(Dong2,ROWS($1:35)),)=$I$6),IF($I$6="1121",OFFSET(TH!M$1,SMALL(Dong2,ROWS($1:35)),),OFFSET(TH!K$1,SMALL(Dong2,ROWS($1:35)),)),0))</f>
        <v/>
      </c>
      <c r="G46" s="960" t="str">
        <f ca="1">IF(ROWS($1:35)&gt;COUNT(Dong2),"",IF(AND(IF($M$9="Q4",RIGHT(OFFSET(TH!G$1,SMALL(Dong2,ROWS($1:35)),),2)=$M$9,RIGHT(OFFSET(TH!G$1,SMALL(Dong2,ROWS($1:35)),),3)=$M$9),OFFSET(TH!O$1,SMALL(Dong2,ROWS($1:35)),)=$I$6),IF($I$6="1121",OFFSET(TH!M$1,SMALL(Dong2,ROWS($1:35)),),OFFSET(TH!K$1,SMALL(Dong2,ROWS($1:35)),)),0))</f>
        <v/>
      </c>
      <c r="H46" s="957">
        <f t="shared" ca="1" si="0"/>
        <v>0</v>
      </c>
      <c r="I46" s="957"/>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8" t="str">
        <f ca="1">IF(ROWS($1:36)&gt;COUNT(Dong2),"",OFFSET(TH!F$1,SMALL(Dong2,ROWS($1:36)),))</f>
        <v/>
      </c>
      <c r="E47" s="203" t="str">
        <f ca="1">IF(ROWS($1:36)&gt;COUNT(Dong2),"",IF(OFFSET(TH!O$1,SMALL(Dong2,ROWS($1:36)),)=$I$6,OFFSET(TH!N$1,SMALL(Dong2,ROWS($1:36)),),OFFSET(TH!O$1,SMALL(Dong2,ROWS($1:36)),)))</f>
        <v/>
      </c>
      <c r="F47" s="960" t="str">
        <f ca="1">IF(ROWS($1:36)&gt;COUNT(Dong2),"",IF(AND(IF($M$9="Q4",LEFT(OFFSET(TH!G$1,SMALL(Dong2,ROWS($1:36)),),2)=$M$9,LEFT(OFFSET(TH!G$1,SMALL(Dong2,ROWS($1:36)),),3)=$M$9),OFFSET(TH!N$1,SMALL(Dong2,ROWS($1:36)),)=$I$6),IF($I$6="1121",OFFSET(TH!M$1,SMALL(Dong2,ROWS($1:36)),),OFFSET(TH!K$1,SMALL(Dong2,ROWS($1:36)),)),0))</f>
        <v/>
      </c>
      <c r="G47" s="960" t="str">
        <f ca="1">IF(ROWS($1:36)&gt;COUNT(Dong2),"",IF(AND(IF($M$9="Q4",RIGHT(OFFSET(TH!G$1,SMALL(Dong2,ROWS($1:36)),),2)=$M$9,RIGHT(OFFSET(TH!G$1,SMALL(Dong2,ROWS($1:36)),),3)=$M$9),OFFSET(TH!O$1,SMALL(Dong2,ROWS($1:36)),)=$I$6),IF($I$6="1121",OFFSET(TH!M$1,SMALL(Dong2,ROWS($1:36)),),OFFSET(TH!K$1,SMALL(Dong2,ROWS($1:36)),)),0))</f>
        <v/>
      </c>
      <c r="H47" s="957">
        <f t="shared" ca="1" si="0"/>
        <v>0</v>
      </c>
      <c r="I47" s="957"/>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8" t="str">
        <f ca="1">IF(ROWS($1:37)&gt;COUNT(Dong2),"",OFFSET(TH!F$1,SMALL(Dong2,ROWS($1:37)),))</f>
        <v/>
      </c>
      <c r="E48" s="203" t="str">
        <f ca="1">IF(ROWS($1:37)&gt;COUNT(Dong2),"",IF(OFFSET(TH!O$1,SMALL(Dong2,ROWS($1:37)),)=$I$6,OFFSET(TH!N$1,SMALL(Dong2,ROWS($1:37)),),OFFSET(TH!O$1,SMALL(Dong2,ROWS($1:37)),)))</f>
        <v/>
      </c>
      <c r="F48" s="960" t="str">
        <f ca="1">IF(ROWS($1:37)&gt;COUNT(Dong2),"",IF(AND(IF($M$9="Q4",LEFT(OFFSET(TH!G$1,SMALL(Dong2,ROWS($1:37)),),2)=$M$9,LEFT(OFFSET(TH!G$1,SMALL(Dong2,ROWS($1:37)),),3)=$M$9),OFFSET(TH!N$1,SMALL(Dong2,ROWS($1:37)),)=$I$6),IF($I$6="1121",OFFSET(TH!M$1,SMALL(Dong2,ROWS($1:37)),),OFFSET(TH!K$1,SMALL(Dong2,ROWS($1:37)),)),0))</f>
        <v/>
      </c>
      <c r="G48" s="960" t="str">
        <f ca="1">IF(ROWS($1:37)&gt;COUNT(Dong2),"",IF(AND(IF($M$9="Q4",RIGHT(OFFSET(TH!G$1,SMALL(Dong2,ROWS($1:37)),),2)=$M$9,RIGHT(OFFSET(TH!G$1,SMALL(Dong2,ROWS($1:37)),),3)=$M$9),OFFSET(TH!O$1,SMALL(Dong2,ROWS($1:37)),)=$I$6),IF($I$6="1121",OFFSET(TH!M$1,SMALL(Dong2,ROWS($1:37)),),OFFSET(TH!K$1,SMALL(Dong2,ROWS($1:37)),)),0))</f>
        <v/>
      </c>
      <c r="H48" s="957">
        <f t="shared" ca="1" si="0"/>
        <v>0</v>
      </c>
      <c r="I48" s="957"/>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8" t="str">
        <f ca="1">IF(ROWS($1:38)&gt;COUNT(Dong2),"",OFFSET(TH!F$1,SMALL(Dong2,ROWS($1:38)),))</f>
        <v/>
      </c>
      <c r="E49" s="203" t="str">
        <f ca="1">IF(ROWS($1:38)&gt;COUNT(Dong2),"",IF(OFFSET(TH!O$1,SMALL(Dong2,ROWS($1:38)),)=$I$6,OFFSET(TH!N$1,SMALL(Dong2,ROWS($1:38)),),OFFSET(TH!O$1,SMALL(Dong2,ROWS($1:38)),)))</f>
        <v/>
      </c>
      <c r="F49" s="960" t="str">
        <f ca="1">IF(ROWS($1:38)&gt;COUNT(Dong2),"",IF(AND(IF($M$9="Q4",LEFT(OFFSET(TH!G$1,SMALL(Dong2,ROWS($1:38)),),2)=$M$9,LEFT(OFFSET(TH!G$1,SMALL(Dong2,ROWS($1:38)),),3)=$M$9),OFFSET(TH!N$1,SMALL(Dong2,ROWS($1:38)),)=$I$6),IF($I$6="1121",OFFSET(TH!M$1,SMALL(Dong2,ROWS($1:38)),),OFFSET(TH!K$1,SMALL(Dong2,ROWS($1:38)),)),0))</f>
        <v/>
      </c>
      <c r="G49" s="960" t="str">
        <f ca="1">IF(ROWS($1:38)&gt;COUNT(Dong2),"",IF(AND(IF($M$9="Q4",RIGHT(OFFSET(TH!G$1,SMALL(Dong2,ROWS($1:38)),),2)=$M$9,RIGHT(OFFSET(TH!G$1,SMALL(Dong2,ROWS($1:38)),),3)=$M$9),OFFSET(TH!O$1,SMALL(Dong2,ROWS($1:38)),)=$I$6),IF($I$6="1121",OFFSET(TH!M$1,SMALL(Dong2,ROWS($1:38)),),OFFSET(TH!K$1,SMALL(Dong2,ROWS($1:38)),)),0))</f>
        <v/>
      </c>
      <c r="H49" s="957">
        <f t="shared" ca="1" si="0"/>
        <v>0</v>
      </c>
      <c r="I49" s="957"/>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8" t="str">
        <f ca="1">IF(ROWS($1:39)&gt;COUNT(Dong2),"",OFFSET(TH!F$1,SMALL(Dong2,ROWS($1:39)),))</f>
        <v/>
      </c>
      <c r="E50" s="203" t="str">
        <f ca="1">IF(ROWS($1:39)&gt;COUNT(Dong2),"",IF(OFFSET(TH!O$1,SMALL(Dong2,ROWS($1:39)),)=$I$6,OFFSET(TH!N$1,SMALL(Dong2,ROWS($1:39)),),OFFSET(TH!O$1,SMALL(Dong2,ROWS($1:39)),)))</f>
        <v/>
      </c>
      <c r="F50" s="960" t="str">
        <f ca="1">IF(ROWS($1:39)&gt;COUNT(Dong2),"",IF(AND(IF($M$9="Q4",LEFT(OFFSET(TH!G$1,SMALL(Dong2,ROWS($1:39)),),2)=$M$9,LEFT(OFFSET(TH!G$1,SMALL(Dong2,ROWS($1:39)),),3)=$M$9),OFFSET(TH!N$1,SMALL(Dong2,ROWS($1:39)),)=$I$6),IF($I$6="1121",OFFSET(TH!M$1,SMALL(Dong2,ROWS($1:39)),),OFFSET(TH!K$1,SMALL(Dong2,ROWS($1:39)),)),0))</f>
        <v/>
      </c>
      <c r="G50" s="960" t="str">
        <f ca="1">IF(ROWS($1:39)&gt;COUNT(Dong2),"",IF(AND(IF($M$9="Q4",RIGHT(OFFSET(TH!G$1,SMALL(Dong2,ROWS($1:39)),),2)=$M$9,RIGHT(OFFSET(TH!G$1,SMALL(Dong2,ROWS($1:39)),),3)=$M$9),OFFSET(TH!O$1,SMALL(Dong2,ROWS($1:39)),)=$I$6),IF($I$6="1121",OFFSET(TH!M$1,SMALL(Dong2,ROWS($1:39)),),OFFSET(TH!K$1,SMALL(Dong2,ROWS($1:39)),)),0))</f>
        <v/>
      </c>
      <c r="H50" s="957">
        <f t="shared" ca="1" si="0"/>
        <v>0</v>
      </c>
      <c r="I50" s="957"/>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8" t="str">
        <f ca="1">IF(ROWS($1:40)&gt;COUNT(Dong2),"",OFFSET(TH!F$1,SMALL(Dong2,ROWS($1:40)),))</f>
        <v/>
      </c>
      <c r="E51" s="203" t="str">
        <f ca="1">IF(ROWS($1:40)&gt;COUNT(Dong2),"",IF(OFFSET(TH!O$1,SMALL(Dong2,ROWS($1:40)),)=$I$6,OFFSET(TH!N$1,SMALL(Dong2,ROWS($1:40)),),OFFSET(TH!O$1,SMALL(Dong2,ROWS($1:40)),)))</f>
        <v/>
      </c>
      <c r="F51" s="960" t="str">
        <f ca="1">IF(ROWS($1:40)&gt;COUNT(Dong2),"",IF(AND(IF($M$9="Q4",LEFT(OFFSET(TH!G$1,SMALL(Dong2,ROWS($1:40)),),2)=$M$9,LEFT(OFFSET(TH!G$1,SMALL(Dong2,ROWS($1:40)),),3)=$M$9),OFFSET(TH!N$1,SMALL(Dong2,ROWS($1:40)),)=$I$6),IF($I$6="1121",OFFSET(TH!M$1,SMALL(Dong2,ROWS($1:40)),),OFFSET(TH!K$1,SMALL(Dong2,ROWS($1:40)),)),0))</f>
        <v/>
      </c>
      <c r="G51" s="960" t="str">
        <f ca="1">IF(ROWS($1:40)&gt;COUNT(Dong2),"",IF(AND(IF($M$9="Q4",RIGHT(OFFSET(TH!G$1,SMALL(Dong2,ROWS($1:40)),),2)=$M$9,RIGHT(OFFSET(TH!G$1,SMALL(Dong2,ROWS($1:40)),),3)=$M$9),OFFSET(TH!O$1,SMALL(Dong2,ROWS($1:40)),)=$I$6),IF($I$6="1121",OFFSET(TH!M$1,SMALL(Dong2,ROWS($1:40)),),OFFSET(TH!K$1,SMALL(Dong2,ROWS($1:40)),)),0))</f>
        <v/>
      </c>
      <c r="H51" s="957">
        <f t="shared" ca="1" si="0"/>
        <v>0</v>
      </c>
      <c r="I51" s="957"/>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8" t="str">
        <f ca="1">IF(ROWS($1:41)&gt;COUNT(Dong2),"",OFFSET(TH!F$1,SMALL(Dong2,ROWS($1:41)),))</f>
        <v/>
      </c>
      <c r="E52" s="203" t="str">
        <f ca="1">IF(ROWS($1:41)&gt;COUNT(Dong2),"",IF(OFFSET(TH!O$1,SMALL(Dong2,ROWS($1:41)),)=$I$6,OFFSET(TH!N$1,SMALL(Dong2,ROWS($1:41)),),OFFSET(TH!O$1,SMALL(Dong2,ROWS($1:41)),)))</f>
        <v/>
      </c>
      <c r="F52" s="960" t="str">
        <f ca="1">IF(ROWS($1:41)&gt;COUNT(Dong2),"",IF(AND(IF($M$9="Q4",LEFT(OFFSET(TH!G$1,SMALL(Dong2,ROWS($1:41)),),2)=$M$9,LEFT(OFFSET(TH!G$1,SMALL(Dong2,ROWS($1:41)),),3)=$M$9),OFFSET(TH!N$1,SMALL(Dong2,ROWS($1:41)),)=$I$6),IF($I$6="1121",OFFSET(TH!M$1,SMALL(Dong2,ROWS($1:41)),),OFFSET(TH!K$1,SMALL(Dong2,ROWS($1:41)),)),0))</f>
        <v/>
      </c>
      <c r="G52" s="960" t="str">
        <f ca="1">IF(ROWS($1:41)&gt;COUNT(Dong2),"",IF(AND(IF($M$9="Q4",RIGHT(OFFSET(TH!G$1,SMALL(Dong2,ROWS($1:41)),),2)=$M$9,RIGHT(OFFSET(TH!G$1,SMALL(Dong2,ROWS($1:41)),),3)=$M$9),OFFSET(TH!O$1,SMALL(Dong2,ROWS($1:41)),)=$I$6),IF($I$6="1121",OFFSET(TH!M$1,SMALL(Dong2,ROWS($1:41)),),OFFSET(TH!K$1,SMALL(Dong2,ROWS($1:41)),)),0))</f>
        <v/>
      </c>
      <c r="H52" s="957">
        <f t="shared" ca="1" si="0"/>
        <v>0</v>
      </c>
      <c r="I52" s="957"/>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8" t="str">
        <f ca="1">IF(ROWS($1:42)&gt;COUNT(Dong2),"",OFFSET(TH!F$1,SMALL(Dong2,ROWS($1:42)),))</f>
        <v/>
      </c>
      <c r="E53" s="203" t="str">
        <f ca="1">IF(ROWS($1:42)&gt;COUNT(Dong2),"",IF(OFFSET(TH!O$1,SMALL(Dong2,ROWS($1:42)),)=$I$6,OFFSET(TH!N$1,SMALL(Dong2,ROWS($1:42)),),OFFSET(TH!O$1,SMALL(Dong2,ROWS($1:42)),)))</f>
        <v/>
      </c>
      <c r="F53" s="960" t="str">
        <f ca="1">IF(ROWS($1:42)&gt;COUNT(Dong2),"",IF(AND(IF($M$9="Q4",LEFT(OFFSET(TH!G$1,SMALL(Dong2,ROWS($1:42)),),2)=$M$9,LEFT(OFFSET(TH!G$1,SMALL(Dong2,ROWS($1:42)),),3)=$M$9),OFFSET(TH!N$1,SMALL(Dong2,ROWS($1:42)),)=$I$6),IF($I$6="1121",OFFSET(TH!M$1,SMALL(Dong2,ROWS($1:42)),),OFFSET(TH!K$1,SMALL(Dong2,ROWS($1:42)),)),0))</f>
        <v/>
      </c>
      <c r="G53" s="960" t="str">
        <f ca="1">IF(ROWS($1:42)&gt;COUNT(Dong2),"",IF(AND(IF($M$9="Q4",RIGHT(OFFSET(TH!G$1,SMALL(Dong2,ROWS($1:42)),),2)=$M$9,RIGHT(OFFSET(TH!G$1,SMALL(Dong2,ROWS($1:42)),),3)=$M$9),OFFSET(TH!O$1,SMALL(Dong2,ROWS($1:42)),)=$I$6),IF($I$6="1121",OFFSET(TH!M$1,SMALL(Dong2,ROWS($1:42)),),OFFSET(TH!K$1,SMALL(Dong2,ROWS($1:42)),)),0))</f>
        <v/>
      </c>
      <c r="H53" s="957">
        <f t="shared" ref="H53:H82" ca="1" si="1">IF(A53&lt;&gt;"",H52+F53-G53,0)</f>
        <v>0</v>
      </c>
      <c r="I53" s="957"/>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8" t="str">
        <f ca="1">IF(ROWS($1:43)&gt;COUNT(Dong2),"",OFFSET(TH!F$1,SMALL(Dong2,ROWS($1:43)),))</f>
        <v/>
      </c>
      <c r="E54" s="203" t="str">
        <f ca="1">IF(ROWS($1:43)&gt;COUNT(Dong2),"",IF(OFFSET(TH!O$1,SMALL(Dong2,ROWS($1:43)),)=$I$6,OFFSET(TH!N$1,SMALL(Dong2,ROWS($1:43)),),OFFSET(TH!O$1,SMALL(Dong2,ROWS($1:43)),)))</f>
        <v/>
      </c>
      <c r="F54" s="960" t="str">
        <f ca="1">IF(ROWS($1:43)&gt;COUNT(Dong2),"",IF(AND(IF($M$9="Q4",LEFT(OFFSET(TH!G$1,SMALL(Dong2,ROWS($1:43)),),2)=$M$9,LEFT(OFFSET(TH!G$1,SMALL(Dong2,ROWS($1:43)),),3)=$M$9),OFFSET(TH!N$1,SMALL(Dong2,ROWS($1:43)),)=$I$6),IF($I$6="1121",OFFSET(TH!M$1,SMALL(Dong2,ROWS($1:43)),),OFFSET(TH!K$1,SMALL(Dong2,ROWS($1:43)),)),0))</f>
        <v/>
      </c>
      <c r="G54" s="960" t="str">
        <f ca="1">IF(ROWS($1:43)&gt;COUNT(Dong2),"",IF(AND(IF($M$9="Q4",RIGHT(OFFSET(TH!G$1,SMALL(Dong2,ROWS($1:43)),),2)=$M$9,RIGHT(OFFSET(TH!G$1,SMALL(Dong2,ROWS($1:43)),),3)=$M$9),OFFSET(TH!O$1,SMALL(Dong2,ROWS($1:43)),)=$I$6),IF($I$6="1121",OFFSET(TH!M$1,SMALL(Dong2,ROWS($1:43)),),OFFSET(TH!K$1,SMALL(Dong2,ROWS($1:43)),)),0))</f>
        <v/>
      </c>
      <c r="H54" s="957">
        <f t="shared" ca="1" si="1"/>
        <v>0</v>
      </c>
      <c r="I54" s="957"/>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8" t="str">
        <f ca="1">IF(ROWS($1:44)&gt;COUNT(Dong2),"",OFFSET(TH!F$1,SMALL(Dong2,ROWS($1:44)),))</f>
        <v/>
      </c>
      <c r="E55" s="203" t="str">
        <f ca="1">IF(ROWS($1:44)&gt;COUNT(Dong2),"",IF(OFFSET(TH!O$1,SMALL(Dong2,ROWS($1:44)),)=$I$6,OFFSET(TH!N$1,SMALL(Dong2,ROWS($1:44)),),OFFSET(TH!O$1,SMALL(Dong2,ROWS($1:44)),)))</f>
        <v/>
      </c>
      <c r="F55" s="960" t="str">
        <f ca="1">IF(ROWS($1:44)&gt;COUNT(Dong2),"",IF(AND(IF($M$9="Q4",LEFT(OFFSET(TH!G$1,SMALL(Dong2,ROWS($1:44)),),2)=$M$9,LEFT(OFFSET(TH!G$1,SMALL(Dong2,ROWS($1:44)),),3)=$M$9),OFFSET(TH!N$1,SMALL(Dong2,ROWS($1:44)),)=$I$6),IF($I$6="1121",OFFSET(TH!M$1,SMALL(Dong2,ROWS($1:44)),),OFFSET(TH!K$1,SMALL(Dong2,ROWS($1:44)),)),0))</f>
        <v/>
      </c>
      <c r="G55" s="960" t="str">
        <f ca="1">IF(ROWS($1:44)&gt;COUNT(Dong2),"",IF(AND(IF($M$9="Q4",RIGHT(OFFSET(TH!G$1,SMALL(Dong2,ROWS($1:44)),),2)=$M$9,RIGHT(OFFSET(TH!G$1,SMALL(Dong2,ROWS($1:44)),),3)=$M$9),OFFSET(TH!O$1,SMALL(Dong2,ROWS($1:44)),)=$I$6),IF($I$6="1121",OFFSET(TH!M$1,SMALL(Dong2,ROWS($1:44)),),OFFSET(TH!K$1,SMALL(Dong2,ROWS($1:44)),)),0))</f>
        <v/>
      </c>
      <c r="H55" s="957">
        <f t="shared" ca="1" si="1"/>
        <v>0</v>
      </c>
      <c r="I55" s="957"/>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8" t="str">
        <f ca="1">IF(ROWS($1:45)&gt;COUNT(Dong2),"",OFFSET(TH!F$1,SMALL(Dong2,ROWS($1:45)),))</f>
        <v/>
      </c>
      <c r="E56" s="203" t="str">
        <f ca="1">IF(ROWS($1:45)&gt;COUNT(Dong2),"",IF(OFFSET(TH!O$1,SMALL(Dong2,ROWS($1:45)),)=$I$6,OFFSET(TH!N$1,SMALL(Dong2,ROWS($1:45)),),OFFSET(TH!O$1,SMALL(Dong2,ROWS($1:45)),)))</f>
        <v/>
      </c>
      <c r="F56" s="960" t="str">
        <f ca="1">IF(ROWS($1:45)&gt;COUNT(Dong2),"",IF(AND(IF($M$9="Q4",LEFT(OFFSET(TH!G$1,SMALL(Dong2,ROWS($1:45)),),2)=$M$9,LEFT(OFFSET(TH!G$1,SMALL(Dong2,ROWS($1:45)),),3)=$M$9),OFFSET(TH!N$1,SMALL(Dong2,ROWS($1:45)),)=$I$6),IF($I$6="1121",OFFSET(TH!M$1,SMALL(Dong2,ROWS($1:45)),),OFFSET(TH!K$1,SMALL(Dong2,ROWS($1:45)),)),0))</f>
        <v/>
      </c>
      <c r="G56" s="960" t="str">
        <f ca="1">IF(ROWS($1:45)&gt;COUNT(Dong2),"",IF(AND(IF($M$9="Q4",RIGHT(OFFSET(TH!G$1,SMALL(Dong2,ROWS($1:45)),),2)=$M$9,RIGHT(OFFSET(TH!G$1,SMALL(Dong2,ROWS($1:45)),),3)=$M$9),OFFSET(TH!O$1,SMALL(Dong2,ROWS($1:45)),)=$I$6),IF($I$6="1121",OFFSET(TH!M$1,SMALL(Dong2,ROWS($1:45)),),OFFSET(TH!K$1,SMALL(Dong2,ROWS($1:45)),)),0))</f>
        <v/>
      </c>
      <c r="H56" s="957">
        <f t="shared" ca="1" si="1"/>
        <v>0</v>
      </c>
      <c r="I56" s="957"/>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8" t="str">
        <f ca="1">IF(ROWS($1:46)&gt;COUNT(Dong2),"",OFFSET(TH!F$1,SMALL(Dong2,ROWS($1:46)),))</f>
        <v/>
      </c>
      <c r="E57" s="203" t="str">
        <f ca="1">IF(ROWS($1:46)&gt;COUNT(Dong2),"",IF(OFFSET(TH!O$1,SMALL(Dong2,ROWS($1:46)),)=$I$6,OFFSET(TH!N$1,SMALL(Dong2,ROWS($1:46)),),OFFSET(TH!O$1,SMALL(Dong2,ROWS($1:46)),)))</f>
        <v/>
      </c>
      <c r="F57" s="960" t="str">
        <f ca="1">IF(ROWS($1:46)&gt;COUNT(Dong2),"",IF(AND(IF($M$9="Q4",LEFT(OFFSET(TH!G$1,SMALL(Dong2,ROWS($1:46)),),2)=$M$9,LEFT(OFFSET(TH!G$1,SMALL(Dong2,ROWS($1:46)),),3)=$M$9),OFFSET(TH!N$1,SMALL(Dong2,ROWS($1:46)),)=$I$6),IF($I$6="1121",OFFSET(TH!M$1,SMALL(Dong2,ROWS($1:46)),),OFFSET(TH!K$1,SMALL(Dong2,ROWS($1:46)),)),0))</f>
        <v/>
      </c>
      <c r="G57" s="960" t="str">
        <f ca="1">IF(ROWS($1:46)&gt;COUNT(Dong2),"",IF(AND(IF($M$9="Q4",RIGHT(OFFSET(TH!G$1,SMALL(Dong2,ROWS($1:46)),),2)=$M$9,RIGHT(OFFSET(TH!G$1,SMALL(Dong2,ROWS($1:46)),),3)=$M$9),OFFSET(TH!O$1,SMALL(Dong2,ROWS($1:46)),)=$I$6),IF($I$6="1121",OFFSET(TH!M$1,SMALL(Dong2,ROWS($1:46)),),OFFSET(TH!K$1,SMALL(Dong2,ROWS($1:46)),)),0))</f>
        <v/>
      </c>
      <c r="H57" s="957">
        <f t="shared" ca="1" si="1"/>
        <v>0</v>
      </c>
      <c r="I57" s="957"/>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8" t="str">
        <f ca="1">IF(ROWS($1:47)&gt;COUNT(Dong2),"",OFFSET(TH!F$1,SMALL(Dong2,ROWS($1:47)),))</f>
        <v/>
      </c>
      <c r="E58" s="203" t="str">
        <f ca="1">IF(ROWS($1:47)&gt;COUNT(Dong2),"",IF(OFFSET(TH!O$1,SMALL(Dong2,ROWS($1:47)),)=$I$6,OFFSET(TH!N$1,SMALL(Dong2,ROWS($1:47)),),OFFSET(TH!O$1,SMALL(Dong2,ROWS($1:47)),)))</f>
        <v/>
      </c>
      <c r="F58" s="960" t="str">
        <f ca="1">IF(ROWS($1:47)&gt;COUNT(Dong2),"",IF(AND(IF($M$9="Q4",LEFT(OFFSET(TH!G$1,SMALL(Dong2,ROWS($1:47)),),2)=$M$9,LEFT(OFFSET(TH!G$1,SMALL(Dong2,ROWS($1:47)),),3)=$M$9),OFFSET(TH!N$1,SMALL(Dong2,ROWS($1:47)),)=$I$6),IF($I$6="1121",OFFSET(TH!M$1,SMALL(Dong2,ROWS($1:47)),),OFFSET(TH!K$1,SMALL(Dong2,ROWS($1:47)),)),0))</f>
        <v/>
      </c>
      <c r="G58" s="960" t="str">
        <f ca="1">IF(ROWS($1:47)&gt;COUNT(Dong2),"",IF(AND(IF($M$9="Q4",RIGHT(OFFSET(TH!G$1,SMALL(Dong2,ROWS($1:47)),),2)=$M$9,RIGHT(OFFSET(TH!G$1,SMALL(Dong2,ROWS($1:47)),),3)=$M$9),OFFSET(TH!O$1,SMALL(Dong2,ROWS($1:47)),)=$I$6),IF($I$6="1121",OFFSET(TH!M$1,SMALL(Dong2,ROWS($1:47)),),OFFSET(TH!K$1,SMALL(Dong2,ROWS($1:47)),)),0))</f>
        <v/>
      </c>
      <c r="H58" s="957">
        <f t="shared" ca="1" si="1"/>
        <v>0</v>
      </c>
      <c r="I58" s="957"/>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8" t="str">
        <f ca="1">IF(ROWS($1:48)&gt;COUNT(Dong2),"",OFFSET(TH!F$1,SMALL(Dong2,ROWS($1:48)),))</f>
        <v/>
      </c>
      <c r="E59" s="203" t="str">
        <f ca="1">IF(ROWS($1:48)&gt;COUNT(Dong2),"",IF(OFFSET(TH!O$1,SMALL(Dong2,ROWS($1:48)),)=$I$6,OFFSET(TH!N$1,SMALL(Dong2,ROWS($1:48)),),OFFSET(TH!O$1,SMALL(Dong2,ROWS($1:48)),)))</f>
        <v/>
      </c>
      <c r="F59" s="960" t="str">
        <f ca="1">IF(ROWS($1:48)&gt;COUNT(Dong2),"",IF(AND(IF($M$9="Q4",LEFT(OFFSET(TH!G$1,SMALL(Dong2,ROWS($1:48)),),2)=$M$9,LEFT(OFFSET(TH!G$1,SMALL(Dong2,ROWS($1:48)),),3)=$M$9),OFFSET(TH!N$1,SMALL(Dong2,ROWS($1:48)),)=$I$6),IF($I$6="1121",OFFSET(TH!M$1,SMALL(Dong2,ROWS($1:48)),),OFFSET(TH!K$1,SMALL(Dong2,ROWS($1:48)),)),0))</f>
        <v/>
      </c>
      <c r="G59" s="960" t="str">
        <f ca="1">IF(ROWS($1:48)&gt;COUNT(Dong2),"",IF(AND(IF($M$9="Q4",RIGHT(OFFSET(TH!G$1,SMALL(Dong2,ROWS($1:48)),),2)=$M$9,RIGHT(OFFSET(TH!G$1,SMALL(Dong2,ROWS($1:48)),),3)=$M$9),OFFSET(TH!O$1,SMALL(Dong2,ROWS($1:48)),)=$I$6),IF($I$6="1121",OFFSET(TH!M$1,SMALL(Dong2,ROWS($1:48)),),OFFSET(TH!K$1,SMALL(Dong2,ROWS($1:48)),)),0))</f>
        <v/>
      </c>
      <c r="H59" s="957">
        <f t="shared" ca="1" si="1"/>
        <v>0</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20000000</v>
      </c>
      <c r="G86" s="959">
        <f ca="1">SUM(G12:G85)</f>
        <v>19564859</v>
      </c>
      <c r="H86" s="956">
        <f ca="1">H11+F86-G86</f>
        <v>5088321</v>
      </c>
      <c r="I86" s="958"/>
    </row>
    <row r="87" spans="1:12" s="202" customFormat="1" ht="20.25" customHeight="1">
      <c r="A87" s="204"/>
      <c r="B87" s="205"/>
      <c r="C87" s="204"/>
      <c r="D87" s="201" t="s">
        <v>10</v>
      </c>
      <c r="E87" s="206"/>
      <c r="F87" s="207"/>
      <c r="G87" s="207"/>
      <c r="H87" s="956">
        <f ca="1">H86</f>
        <v>5088321</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19/5/ 2015</v>
      </c>
      <c r="B89" s="211"/>
      <c r="F89" s="209"/>
      <c r="H89" s="1178"/>
      <c r="I89" s="210"/>
    </row>
    <row r="90" spans="1:12" s="202" customFormat="1" ht="12.75">
      <c r="A90" s="212"/>
      <c r="B90" s="213"/>
      <c r="C90" s="214"/>
      <c r="F90" s="209"/>
      <c r="G90" s="319" t="str">
        <f>"Ngày "&amp;IF(OR($K$9=4,$K$9=6,$K$9=9,$K$9=11),"30",IF($K$9=2,"28","31"))&amp;" tháng "&amp;$K$9&amp;"  năm  2016 "</f>
        <v xml:space="preserve">Ngày 31 tháng 5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N11" sqref="N11"/>
    </sheetView>
  </sheetViews>
  <sheetFormatPr defaultColWidth="8" defaultRowHeight="13.5"/>
  <cols>
    <col min="1" max="1" width="4.28515625" style="891" customWidth="1"/>
    <col min="2" max="2" width="34" style="891" customWidth="1"/>
    <col min="3" max="3" width="10.5703125" style="232" customWidth="1"/>
    <col min="4" max="4" width="14" style="892" customWidth="1"/>
    <col min="5" max="5" width="10.85546875" style="232" customWidth="1"/>
    <col min="6" max="6" width="14" style="892" customWidth="1"/>
    <col min="7" max="7" width="12.7109375" style="232" customWidth="1"/>
    <col min="8" max="8" width="15.7109375" style="892" customWidth="1"/>
    <col min="9" max="9" width="15.5703125" style="232" customWidth="1"/>
    <col min="10" max="10" width="14.7109375" style="892" customWidth="1"/>
    <col min="11" max="11" width="11.140625" style="232" customWidth="1"/>
    <col min="12" max="12" width="12.5703125" style="892" customWidth="1"/>
    <col min="13" max="13" width="14.5703125" style="232" customWidth="1"/>
    <col min="14" max="14" width="14.42578125" style="892" customWidth="1"/>
    <col min="15" max="16384" width="8" style="891"/>
  </cols>
  <sheetData>
    <row r="1" spans="1:14" ht="21" customHeight="1">
      <c r="A1" s="1265" t="s">
        <v>609</v>
      </c>
      <c r="B1" s="1265"/>
      <c r="C1" s="1265"/>
      <c r="D1" s="1265"/>
      <c r="E1" s="1265"/>
      <c r="F1" s="1265"/>
      <c r="G1" s="1265"/>
      <c r="H1" s="1265"/>
      <c r="I1" s="1265"/>
      <c r="J1" s="1265"/>
      <c r="K1" s="1265"/>
      <c r="L1" s="1265"/>
      <c r="M1" s="1265"/>
      <c r="N1" s="1265"/>
    </row>
    <row r="2" spans="1:14" s="10" customFormat="1" ht="15.75" customHeight="1">
      <c r="A2" s="1266" t="s">
        <v>37</v>
      </c>
      <c r="B2" s="1264" t="s">
        <v>38</v>
      </c>
      <c r="C2" s="904" t="s">
        <v>39</v>
      </c>
      <c r="D2" s="903"/>
      <c r="E2" s="904"/>
      <c r="F2" s="903"/>
      <c r="G2" s="904" t="s">
        <v>40</v>
      </c>
      <c r="H2" s="903"/>
      <c r="I2" s="904"/>
      <c r="J2" s="903"/>
      <c r="K2" s="904" t="s">
        <v>44</v>
      </c>
      <c r="L2" s="903"/>
      <c r="M2" s="904"/>
      <c r="N2" s="903"/>
    </row>
    <row r="3" spans="1:14" s="10" customFormat="1" ht="15.75" customHeight="1">
      <c r="A3" s="1266"/>
      <c r="B3" s="1264"/>
      <c r="C3" s="1264" t="s">
        <v>45</v>
      </c>
      <c r="D3" s="1264"/>
      <c r="E3" s="1264" t="s">
        <v>46</v>
      </c>
      <c r="F3" s="1264"/>
      <c r="G3" s="1264" t="s">
        <v>45</v>
      </c>
      <c r="H3" s="1264"/>
      <c r="I3" s="1264" t="s">
        <v>46</v>
      </c>
      <c r="J3" s="1264"/>
      <c r="K3" s="1264" t="s">
        <v>45</v>
      </c>
      <c r="L3" s="1264"/>
      <c r="M3" s="1264" t="s">
        <v>46</v>
      </c>
      <c r="N3" s="1264"/>
    </row>
    <row r="4" spans="1:14" s="10" customFormat="1" ht="15.75" customHeight="1">
      <c r="A4" s="1266"/>
      <c r="B4" s="1264"/>
      <c r="C4" s="1007" t="s">
        <v>247</v>
      </c>
      <c r="D4" s="902" t="s">
        <v>608</v>
      </c>
      <c r="E4" s="1007" t="s">
        <v>247</v>
      </c>
      <c r="F4" s="902" t="s">
        <v>608</v>
      </c>
      <c r="G4" s="1007" t="s">
        <v>247</v>
      </c>
      <c r="H4" s="902" t="s">
        <v>608</v>
      </c>
      <c r="I4" s="1007" t="s">
        <v>247</v>
      </c>
      <c r="J4" s="902" t="s">
        <v>608</v>
      </c>
      <c r="K4" s="1007" t="s">
        <v>247</v>
      </c>
      <c r="L4" s="902" t="s">
        <v>608</v>
      </c>
      <c r="M4" s="1007" t="s">
        <v>247</v>
      </c>
      <c r="N4" s="902" t="s">
        <v>608</v>
      </c>
    </row>
    <row r="5" spans="1:14" s="10" customFormat="1" ht="18" customHeight="1">
      <c r="A5" s="901">
        <f>IF(B5&lt;&gt;"",ROW()-4,"")</f>
        <v>1</v>
      </c>
      <c r="B5" s="1013" t="s">
        <v>607</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606</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605</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604</v>
      </c>
      <c r="C8" s="897">
        <v>0</v>
      </c>
      <c r="D8" s="897">
        <v>0</v>
      </c>
      <c r="E8" s="897">
        <v>0</v>
      </c>
      <c r="F8" s="896">
        <v>0</v>
      </c>
      <c r="G8" s="897">
        <f t="array" ref="G8">SUM(IF("131"&amp;B8=KHN&amp;KH,_TH))</f>
        <v>184526</v>
      </c>
      <c r="H8" s="896">
        <f t="array" ref="H8">SUM(IF("131"&amp;B8=KHN&amp;KH,TH))</f>
        <v>4121565960</v>
      </c>
      <c r="I8" s="897">
        <f t="array" ref="I8">SUM(IF("131"&amp;B8=KHC&amp;KH,_TH))</f>
        <v>150322</v>
      </c>
      <c r="J8" s="896">
        <f t="array" ref="J8">SUM(IF("131"&amp;B8=KHC&amp;KH,TH))</f>
        <v>3355225340</v>
      </c>
      <c r="K8" s="895">
        <f t="shared" si="0"/>
        <v>34204</v>
      </c>
      <c r="L8" s="421">
        <f t="shared" si="1"/>
        <v>766340620</v>
      </c>
      <c r="M8" s="895">
        <f t="shared" si="2"/>
        <v>0</v>
      </c>
      <c r="N8" s="421">
        <f t="shared" si="3"/>
        <v>0</v>
      </c>
    </row>
    <row r="9" spans="1:14" s="10" customFormat="1" ht="18" customHeight="1">
      <c r="A9" s="901">
        <f t="shared" si="4"/>
        <v>5</v>
      </c>
      <c r="B9" s="7" t="s">
        <v>603</v>
      </c>
      <c r="C9" s="897">
        <v>103545</v>
      </c>
      <c r="D9" s="897">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602</v>
      </c>
      <c r="C10" s="897">
        <v>5219.6400000000003</v>
      </c>
      <c r="D10" s="897">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601</v>
      </c>
      <c r="C11" s="897">
        <v>0</v>
      </c>
      <c r="D11" s="897">
        <v>0</v>
      </c>
      <c r="E11" s="897">
        <v>0</v>
      </c>
      <c r="F11" s="897">
        <v>0</v>
      </c>
      <c r="G11" s="897">
        <f t="array" ref="G11">SUM(IF("131"&amp;B11=KHN&amp;KH,_TH))</f>
        <v>83520</v>
      </c>
      <c r="H11" s="896">
        <f t="array" ref="H11">SUM(IF("131"&amp;B11=KHN&amp;KH,TH))</f>
        <v>1864792800</v>
      </c>
      <c r="I11" s="897">
        <f t="array" ref="I11">SUM(IF("131"&amp;B11=KHC&amp;KH,_TH))</f>
        <v>83520</v>
      </c>
      <c r="J11" s="896">
        <f t="array" ref="J11">SUM(IF("131"&amp;B11=KHC&amp;KH,TH))</f>
        <v>1864792800</v>
      </c>
      <c r="K11" s="895">
        <f t="shared" si="0"/>
        <v>0</v>
      </c>
      <c r="L11" s="421">
        <f t="shared" si="1"/>
        <v>0</v>
      </c>
      <c r="M11" s="895">
        <f t="shared" si="2"/>
        <v>0</v>
      </c>
      <c r="N11" s="421">
        <f t="shared" si="3"/>
        <v>0</v>
      </c>
    </row>
    <row r="12" spans="1:14" s="10" customFormat="1" ht="18" customHeight="1">
      <c r="A12" s="901">
        <f t="shared" si="4"/>
        <v>8</v>
      </c>
      <c r="B12" s="898" t="s">
        <v>1388</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f t="shared" si="4"/>
        <v>9</v>
      </c>
      <c r="B13" s="898" t="s">
        <v>1565</v>
      </c>
      <c r="C13" s="897">
        <v>0</v>
      </c>
      <c r="D13" s="897">
        <v>0</v>
      </c>
      <c r="E13" s="897">
        <v>0</v>
      </c>
      <c r="F13" s="897">
        <v>0</v>
      </c>
      <c r="G13" s="897">
        <f t="array" ref="G13">SUM(IF("131"&amp;B13=KHN&amp;KH,_TH))</f>
        <v>0</v>
      </c>
      <c r="H13" s="896">
        <f t="array" ref="H13">SUM(IF("131"&amp;B13=KHN&amp;KH,TH))</f>
        <v>0</v>
      </c>
      <c r="I13" s="897">
        <f t="array" ref="I13">SUM(IF("131"&amp;B13=KHC&amp;KH,_TH))</f>
        <v>4997</v>
      </c>
      <c r="J13" s="896">
        <f t="array" ref="J13">SUM(IF("131"&amp;B13=KHC&amp;KH,TH))</f>
        <v>111333160</v>
      </c>
      <c r="K13" s="895">
        <f>ROUND(MAX(C13+G13-E13-I13,0),2)</f>
        <v>0</v>
      </c>
      <c r="L13" s="421">
        <f>ROUND(MAX(D13+H13-F13-J13,0),0)</f>
        <v>0</v>
      </c>
      <c r="M13" s="895">
        <f>ROUND(MAX(E13+I13-C13-G13,0),2)</f>
        <v>4997</v>
      </c>
      <c r="N13" s="421">
        <f>ROUND(MAX(F13+J13-D13-H13,0),0)</f>
        <v>111333160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552941</v>
      </c>
      <c r="H17" s="893">
        <f t="shared" si="5"/>
        <v>12331191060</v>
      </c>
      <c r="I17" s="894">
        <f t="shared" si="5"/>
        <v>528953.64</v>
      </c>
      <c r="J17" s="893">
        <f t="shared" si="5"/>
        <v>11799285434</v>
      </c>
      <c r="K17" s="894">
        <f t="shared" si="5"/>
        <v>181815.41999999998</v>
      </c>
      <c r="L17" s="893">
        <f t="shared" si="5"/>
        <v>3986620386</v>
      </c>
      <c r="M17" s="894">
        <f t="shared" si="5"/>
        <v>4997</v>
      </c>
      <c r="N17" s="893">
        <f t="shared" si="5"/>
        <v>111333160</v>
      </c>
    </row>
    <row r="19" spans="1:14">
      <c r="H19" s="892">
        <f>CDPS!E15</f>
        <v>14224413560</v>
      </c>
      <c r="J19" s="892">
        <f>CDPS!F15</f>
        <v>11799285434</v>
      </c>
    </row>
    <row r="21" spans="1:14">
      <c r="H21" s="892">
        <f>H17-H19</f>
        <v>-1893222500</v>
      </c>
      <c r="I21" s="892"/>
      <c r="J21" s="892">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P66"/>
  <sheetViews>
    <sheetView topLeftCell="C6" zoomScale="90" zoomScaleNormal="90" workbookViewId="0">
      <pane ySplit="11" topLeftCell="A17" activePane="bottomLeft" state="frozen"/>
      <selection activeCell="B5" sqref="B5"/>
      <selection pane="bottomLeft" activeCell="N18" sqref="N18"/>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616</v>
      </c>
      <c r="N2" s="2"/>
      <c r="O2" s="2"/>
    </row>
    <row r="3" spans="1:15" s="874" customFormat="1" ht="16.5" customHeight="1">
      <c r="A3" s="1274" t="s">
        <v>615</v>
      </c>
      <c r="B3" s="1274"/>
      <c r="C3" s="1274"/>
      <c r="D3" s="1274"/>
      <c r="E3" s="939"/>
      <c r="G3" s="938"/>
      <c r="H3" s="937"/>
      <c r="I3" s="936"/>
      <c r="J3" s="935"/>
      <c r="K3" s="17"/>
      <c r="L3" s="17"/>
      <c r="M3" s="941" t="s">
        <v>320</v>
      </c>
      <c r="N3" s="17"/>
      <c r="O3" s="17"/>
    </row>
    <row r="4" spans="1:15" s="874" customFormat="1" ht="16.5" customHeight="1">
      <c r="A4" s="942"/>
      <c r="B4" s="942"/>
      <c r="C4" s="942"/>
      <c r="D4" s="942"/>
      <c r="E4" s="939"/>
      <c r="G4" s="938" t="s">
        <v>614</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75" t="s">
        <v>613</v>
      </c>
      <c r="B6" s="1275"/>
      <c r="C6" s="1275"/>
      <c r="D6" s="1275"/>
      <c r="E6" s="1275"/>
      <c r="F6" s="1275"/>
      <c r="G6" s="1275"/>
      <c r="H6" s="1275"/>
      <c r="I6" s="1275"/>
      <c r="J6" s="1275"/>
      <c r="K6" s="1275"/>
      <c r="L6" s="1275"/>
      <c r="M6" s="1275"/>
      <c r="N6" s="1275"/>
      <c r="O6" s="1275"/>
    </row>
    <row r="7" spans="1:15" s="5" customFormat="1" ht="15">
      <c r="H7" s="872" t="s">
        <v>29</v>
      </c>
    </row>
    <row r="8" spans="1:15" s="5" customFormat="1" ht="15">
      <c r="H8" s="872" t="s">
        <v>612</v>
      </c>
    </row>
    <row r="9" spans="1:15" s="5" customFormat="1" ht="15">
      <c r="G9" s="249" t="s">
        <v>611</v>
      </c>
      <c r="H9" s="1276" t="s">
        <v>1388</v>
      </c>
      <c r="I9" s="1276"/>
      <c r="J9" s="1276"/>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77" t="s">
        <v>22</v>
      </c>
      <c r="B12" s="1267" t="s">
        <v>1</v>
      </c>
      <c r="C12" s="1280"/>
      <c r="D12" s="1277" t="s">
        <v>0</v>
      </c>
      <c r="E12" s="1277" t="s">
        <v>16</v>
      </c>
      <c r="F12" s="1277" t="s">
        <v>246</v>
      </c>
      <c r="G12" s="1281" t="s">
        <v>610</v>
      </c>
      <c r="H12" s="1267" t="s">
        <v>23</v>
      </c>
      <c r="I12" s="1284"/>
      <c r="J12" s="1284"/>
      <c r="K12" s="1280"/>
      <c r="L12" s="1267" t="s">
        <v>33</v>
      </c>
      <c r="M12" s="1268"/>
      <c r="N12" s="1268"/>
      <c r="O12" s="1269"/>
    </row>
    <row r="13" spans="1:15" s="872" customFormat="1" ht="15.75" customHeight="1">
      <c r="A13" s="1278"/>
      <c r="B13" s="1270" t="s">
        <v>17</v>
      </c>
      <c r="C13" s="1270" t="s">
        <v>34</v>
      </c>
      <c r="D13" s="1278"/>
      <c r="E13" s="1278"/>
      <c r="F13" s="1278"/>
      <c r="G13" s="1282"/>
      <c r="H13" s="1272" t="s">
        <v>24</v>
      </c>
      <c r="I13" s="1273"/>
      <c r="J13" s="1272" t="s">
        <v>25</v>
      </c>
      <c r="K13" s="1273"/>
      <c r="L13" s="1272" t="s">
        <v>24</v>
      </c>
      <c r="M13" s="1269"/>
      <c r="N13" s="1272" t="s">
        <v>25</v>
      </c>
      <c r="O13" s="1269"/>
    </row>
    <row r="14" spans="1:15" s="872" customFormat="1" ht="27.75" customHeight="1">
      <c r="A14" s="1279"/>
      <c r="B14" s="1271"/>
      <c r="C14" s="1271"/>
      <c r="D14" s="1279"/>
      <c r="E14" s="1279"/>
      <c r="F14" s="1279"/>
      <c r="G14" s="1283"/>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VLOOKUP($H$9,'131'!$B$5:$F$16,2,0)</f>
        <v>0</v>
      </c>
      <c r="M16" s="924">
        <f>VLOOKUP($H$9,'131'!$B$5:$F$16,3,0)</f>
        <v>0</v>
      </c>
      <c r="N16" s="925">
        <f>VLOOKUP($H$9,'131'!$B$5:$F$16,4,0)</f>
        <v>0</v>
      </c>
      <c r="O16" s="924">
        <f>VLOOKUP($H$9,'131'!$B$5:$F$16,5,0)</f>
        <v>0</v>
      </c>
    </row>
    <row r="17" spans="1:16" s="5" customFormat="1" ht="16.5" customHeight="1">
      <c r="A17" s="227">
        <f t="shared" ref="A17:A51" ca="1" si="0">IF(C17&lt;&gt;"",C17,"")</f>
        <v>42473</v>
      </c>
      <c r="B17" s="231" t="str">
        <f ca="1">IF(ROWS($1:1)&gt;COUNT(Dong14),"",OFFSET(TH!D$1,SMALL(Dong14,ROWS($1:1)),))</f>
        <v>TP/X01</v>
      </c>
      <c r="C17" s="227">
        <f ca="1">IF(ROWS($1:1)&gt;COUNT(Dong14),"",OFFSET(TH!E$1,SMALL(Dong14,ROWS($1:1)),))</f>
        <v>42473</v>
      </c>
      <c r="D17" s="923" t="str">
        <f ca="1">IF(ROWS($1:1)&gt;COUNT(Dong14),"",OFFSET(TH!F$1,SMALL(Dong14,ROWS($1:1)),))</f>
        <v>Ghẹ khô tẩm TP</v>
      </c>
      <c r="E17" s="921" t="str">
        <f ca="1">IF(ROWS($1:1)&gt;COUNT(Dong14),"",IF(OFFSET(TH!N$1,SMALL(Dong14,ROWS($1:1)),)="131",OFFSET(TH!O$1,SMALL(Dong14,ROWS($1:1)),),OFFSET(TH!N$1,SMALL(Dong14,ROWS($1:1)),)))</f>
        <v>5112X</v>
      </c>
      <c r="F17" s="921">
        <f ca="1">IF(ROWS($1:1)&gt;COUNT(Dong14),0,OFFSET(TH!L$1,SMALL(Dong14,ROWS($1:1)),))</f>
        <v>22250</v>
      </c>
      <c r="G17" s="921"/>
      <c r="H17" s="922">
        <f ca="1">IF(ROWS($1:1)&gt;COUNT(Dong14),0,IF(OFFSET(TH!N$1,SMALL(Dong14,ROWS($1:1)),)="131",OFFSET(TH!K$1,SMALL(Dong14,ROWS($1:1)),),0))</f>
        <v>76560</v>
      </c>
      <c r="I17" s="921">
        <f ca="1">IF(ROWS($1:1)&gt;COUNT(Dong14),0,IF(OFFSET(TH!N$1,SMALL(Dong14,ROWS($1:1)),)="131",OFFSET(TH!M$1,SMALL(Dong14,ROWS($1:1)),),0))</f>
        <v>1703460000</v>
      </c>
      <c r="J17" s="922">
        <f ca="1">IF(ROWS($1:1)&gt;COUNT(Dong14),0,IF(OFFSET(TH!O$1,SMALL(Dong14,ROWS($1:1)),)="131",OFFSET(TH!K$1,SMALL(Dong14,ROWS($1:1)),),0))</f>
        <v>0</v>
      </c>
      <c r="K17" s="921">
        <f ca="1">IF(ROWS($1:1)&gt;COUNT(Dong14),0,IF(OFFSET(TH!O$1,SMALL(Dong14,ROWS($1:1)),)="131",OFFSET(TH!M$1,SMALL(Dong14,ROWS($1:1)),),0))</f>
        <v>0</v>
      </c>
      <c r="L17" s="915">
        <f ca="1">IF(D17&lt;&gt;"",ROUND(MAX(L16+H17-J17-N16,0),2),0)</f>
        <v>76560</v>
      </c>
      <c r="M17" s="914">
        <f ca="1">IF(D17&lt;&gt;"",MAX(M16-O16+I17-K17,0),0)</f>
        <v>1703460000</v>
      </c>
      <c r="N17" s="915">
        <f ca="1">IF(D17&lt;&gt;"",ROUND(MAX(N16+J17-H17-L16,0),2),0)</f>
        <v>0</v>
      </c>
      <c r="O17" s="914">
        <f ca="1">IF(D17&lt;&gt;"",MAX(O16-M16+K17-I17,0),0)</f>
        <v>0</v>
      </c>
    </row>
    <row r="18" spans="1:16" s="5" customFormat="1" ht="16.5" customHeight="1">
      <c r="A18" s="227">
        <f t="shared" ca="1" si="0"/>
        <v>42489</v>
      </c>
      <c r="B18" s="231" t="str">
        <f ca="1">IF(ROWS($1:2)&gt;COUNT(Dong14),"",OFFSET(TH!D$1,SMALL(Dong14,ROWS($1:2)),))</f>
        <v>GBN</v>
      </c>
      <c r="C18" s="227">
        <f ca="1">IF(ROWS($1:2)&gt;COUNT(Dong14),"",OFFSET(TH!E$1,SMALL(Dong14,ROWS($1:2)),))</f>
        <v>42489</v>
      </c>
      <c r="D18" s="923" t="str">
        <f ca="1">IF(ROWS($1:2)&gt;COUNT(Dong14),"",OFFSET(TH!F$1,SMALL(Dong14,ROWS($1:2)),))</f>
        <v>Thu tiền hàng</v>
      </c>
      <c r="E18" s="921" t="str">
        <f ca="1">IF(ROWS($1:2)&gt;COUNT(Dong14),"",IF(OFFSET(TH!N$1,SMALL(Dong14,ROWS($1:2)),)="131",OFFSET(TH!O$1,SMALL(Dong14,ROWS($1:2)),),OFFSET(TH!N$1,SMALL(Dong14,ROWS($1:2)),)))</f>
        <v>1121</v>
      </c>
      <c r="F18" s="921">
        <f ca="1">IF(ROWS($1:2)&gt;COUNT(Dong14),0,OFFSET(TH!L$1,SMALL(Dong14,ROWS($1:2)),))</f>
        <v>22260</v>
      </c>
      <c r="G18" s="921"/>
      <c r="H18" s="922">
        <f ca="1">IF(ROWS($1:2)&gt;COUNT(Dong14),0,IF(OFFSET(TH!N$1,SMALL(Dong14,ROWS($1:2)),)="131",OFFSET(TH!K$1,SMALL(Dong14,ROWS($1:2)),),0))</f>
        <v>0</v>
      </c>
      <c r="I18" s="921">
        <f ca="1">IF(ROWS($1:2)&gt;COUNT(Dong14),0,IF(OFFSET(TH!N$1,SMALL(Dong14,ROWS($1:2)),)="131",OFFSET(TH!M$1,SMALL(Dong14,ROWS($1:2)),),0))</f>
        <v>0</v>
      </c>
      <c r="J18" s="922">
        <f ca="1">IF(ROWS($1:2)&gt;COUNT(Dong14),0,IF(OFFSET(TH!O$1,SMALL(Dong14,ROWS($1:2)),)="131",OFFSET(TH!K$1,SMALL(Dong14,ROWS($1:2)),),0))</f>
        <v>76081.644384546278</v>
      </c>
      <c r="K18" s="921">
        <f ca="1">IF(ROWS($1:2)&gt;COUNT(Dong14),0,IF(OFFSET(TH!O$1,SMALL(Dong14,ROWS($1:2)),)="131",OFFSET(TH!M$1,SMALL(Dong14,ROWS($1:2)),),0))</f>
        <v>1693577404</v>
      </c>
      <c r="L18" s="915">
        <f t="shared" ref="L18:L50" ca="1" si="1">IF(D18&lt;&gt;"",ROUND(MAX(L17+H18-J18-N17,0),2),0)</f>
        <v>478.36</v>
      </c>
      <c r="M18" s="914">
        <f t="shared" ref="M18:M50" ca="1" si="2">IF(D18&lt;&gt;"",MAX(M17-O17+I18-K18,0),0)</f>
        <v>9882596</v>
      </c>
      <c r="N18" s="915">
        <f t="shared" ref="N18:N50" ca="1" si="3">IF(D18&lt;&gt;"",ROUND(MAX(N17+J18-H18-L17,0),2),0)</f>
        <v>0</v>
      </c>
      <c r="O18" s="914">
        <f t="shared" ref="O18:O50" ca="1" si="4">IF(D18&lt;&gt;"",MAX(O17-M17+K18-I18,0),0)</f>
        <v>0</v>
      </c>
    </row>
    <row r="19" spans="1:16" s="5" customFormat="1" ht="16.5" customHeight="1">
      <c r="A19" s="227">
        <f t="shared" ca="1" si="0"/>
        <v>42489</v>
      </c>
      <c r="B19" s="231" t="str">
        <f ca="1">IF(ROWS($1:3)&gt;COUNT(Dong14),"",OFFSET(TH!D$1,SMALL(Dong14,ROWS($1:3)),))</f>
        <v>GBN</v>
      </c>
      <c r="C19" s="227">
        <f ca="1">IF(ROWS($1:3)&gt;COUNT(Dong14),"",OFFSET(TH!E$1,SMALL(Dong14,ROWS($1:3)),))</f>
        <v>42489</v>
      </c>
      <c r="D19" s="923" t="str">
        <f ca="1">IF(ROWS($1:3)&gt;COUNT(Dong14),"",OFFSET(TH!F$1,SMALL(Dong14,ROWS($1:3)),))</f>
        <v>Phí nước ngoài giảm trừ</v>
      </c>
      <c r="E19" s="921" t="str">
        <f ca="1">IF(ROWS($1:3)&gt;COUNT(Dong14),"",IF(OFFSET(TH!N$1,SMALL(Dong14,ROWS($1:3)),)="131",OFFSET(TH!O$1,SMALL(Dong14,ROWS($1:3)),),OFFSET(TH!N$1,SMALL(Dong14,ROWS($1:3)),)))</f>
        <v>642</v>
      </c>
      <c r="F19" s="921">
        <f ca="1">IF(ROWS($1:3)&gt;COUNT(Dong14),0,OFFSET(TH!L$1,SMALL(Dong14,ROWS($1:3)),))</f>
        <v>22260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170</v>
      </c>
      <c r="K19" s="921">
        <f ca="1">IF(ROWS($1:3)&gt;COUNT(Dong14),0,IF(OFFSET(TH!O$1,SMALL(Dong14,ROWS($1:3)),)="131",OFFSET(TH!M$1,SMALL(Dong14,ROWS($1:3)),),0))</f>
        <v>3784200</v>
      </c>
      <c r="L19" s="915">
        <f t="shared" ca="1" si="1"/>
        <v>308.36</v>
      </c>
      <c r="M19" s="914">
        <f t="shared" ca="1" si="2"/>
        <v>6098396</v>
      </c>
      <c r="N19" s="915">
        <f t="shared" ca="1" si="3"/>
        <v>0</v>
      </c>
      <c r="O19" s="914">
        <f t="shared" ca="1" si="4"/>
        <v>0</v>
      </c>
    </row>
    <row r="20" spans="1:16" s="5" customFormat="1" ht="16.5" customHeight="1">
      <c r="A20" s="227">
        <f t="shared" ca="1" si="0"/>
        <v>42489</v>
      </c>
      <c r="B20" s="231" t="str">
        <f ca="1">IF(ROWS($1:4)&gt;COUNT(Dong14),"",OFFSET(TH!D$1,SMALL(Dong14,ROWS($1:4)),))</f>
        <v>GBN</v>
      </c>
      <c r="C20" s="227">
        <f ca="1">IF(ROWS($1:4)&gt;COUNT(Dong14),"",OFFSET(TH!E$1,SMALL(Dong14,ROWS($1:4)),))</f>
        <v>42489</v>
      </c>
      <c r="D20" s="923" t="str">
        <f ca="1">IF(ROWS($1:4)&gt;COUNT(Dong14),"",OFFSET(TH!F$1,SMALL(Dong14,ROWS($1:4)),))</f>
        <v>Lãi chiết khấu</v>
      </c>
      <c r="E20" s="921" t="str">
        <f ca="1">IF(ROWS($1:4)&gt;COUNT(Dong14),"",IF(OFFSET(TH!N$1,SMALL(Dong14,ROWS($1:4)),)="131",OFFSET(TH!O$1,SMALL(Dong14,ROWS($1:4)),),OFFSET(TH!N$1,SMALL(Dong14,ROWS($1:4)),)))</f>
        <v>635</v>
      </c>
      <c r="F20" s="921">
        <f ca="1">IF(ROWS($1:4)&gt;COUNT(Dong14),0,OFFSET(TH!L$1,SMALL(Dong14,ROWS($1:4)),))</f>
        <v>22260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181.69110512129379</v>
      </c>
      <c r="K20" s="921">
        <f ca="1">IF(ROWS($1:4)&gt;COUNT(Dong14),0,IF(OFFSET(TH!O$1,SMALL(Dong14,ROWS($1:4)),)="131",OFFSET(TH!M$1,SMALL(Dong14,ROWS($1:4)),),0))</f>
        <v>4044444</v>
      </c>
      <c r="L20" s="915">
        <f t="shared" ca="1" si="1"/>
        <v>126.67</v>
      </c>
      <c r="M20" s="914">
        <f t="shared" ca="1" si="2"/>
        <v>2053952</v>
      </c>
      <c r="N20" s="915">
        <f t="shared" ca="1" si="3"/>
        <v>0</v>
      </c>
      <c r="O20" s="914">
        <f t="shared" ca="1" si="4"/>
        <v>0</v>
      </c>
    </row>
    <row r="21" spans="1:16" s="5" customFormat="1" ht="16.5" customHeight="1">
      <c r="A21" s="227">
        <f t="shared" ca="1" si="0"/>
        <v>42489</v>
      </c>
      <c r="B21" s="231" t="str">
        <f ca="1">IF(ROWS($1:5)&gt;COUNT(Dong14),"",OFFSET(TH!D$1,SMALL(Dong14,ROWS($1:5)),))</f>
        <v>GBN</v>
      </c>
      <c r="C21" s="227">
        <f ca="1">IF(ROWS($1:5)&gt;COUNT(Dong14),"",OFFSET(TH!E$1,SMALL(Dong14,ROWS($1:5)),))</f>
        <v>42489</v>
      </c>
      <c r="D21" s="923" t="str">
        <f ca="1">IF(ROWS($1:5)&gt;COUNT(Dong14),"",OFFSET(TH!F$1,SMALL(Dong14,ROWS($1:5)),))</f>
        <v>Phí nước ngoài giảm trừ</v>
      </c>
      <c r="E21" s="921" t="str">
        <f ca="1">IF(ROWS($1:5)&gt;COUNT(Dong14),"",IF(OFFSET(TH!N$1,SMALL(Dong14,ROWS($1:5)),)="131",OFFSET(TH!O$1,SMALL(Dong14,ROWS($1:5)),),OFFSET(TH!N$1,SMALL(Dong14,ROWS($1:5)),)))</f>
        <v>642</v>
      </c>
      <c r="F21" s="921">
        <f ca="1">IF(ROWS($1:5)&gt;COUNT(Dong14),0,OFFSET(TH!L$1,SMALL(Dong14,ROWS($1:5)),))</f>
        <v>22260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115.14955076370171</v>
      </c>
      <c r="K21" s="921">
        <f ca="1">IF(ROWS($1:5)&gt;COUNT(Dong14),0,IF(OFFSET(TH!O$1,SMALL(Dong14,ROWS($1:5)),)="131",OFFSET(TH!M$1,SMALL(Dong14,ROWS($1:5)),),0))</f>
        <v>2563229</v>
      </c>
      <c r="L21" s="915">
        <f t="shared" ca="1" si="1"/>
        <v>11.52</v>
      </c>
      <c r="M21" s="914">
        <f t="shared" ca="1" si="2"/>
        <v>0</v>
      </c>
      <c r="N21" s="915">
        <f t="shared" ca="1" si="3"/>
        <v>0</v>
      </c>
      <c r="O21" s="914">
        <f t="shared" ca="1" si="4"/>
        <v>509277</v>
      </c>
    </row>
    <row r="22" spans="1:16" s="5" customFormat="1" ht="16.5" customHeight="1">
      <c r="A22" s="227">
        <f t="shared" ca="1" si="0"/>
        <v>42489</v>
      </c>
      <c r="B22" s="231" t="str">
        <f ca="1">IF(ROWS($1:6)&gt;COUNT(Dong14),"",OFFSET(TH!D$1,SMALL(Dong14,ROWS($1:6)),))</f>
        <v>GBN</v>
      </c>
      <c r="C22" s="227">
        <f ca="1">IF(ROWS($1:6)&gt;COUNT(Dong14),"",OFFSET(TH!E$1,SMALL(Dong14,ROWS($1:6)),))</f>
        <v>42489</v>
      </c>
      <c r="D22" s="923" t="str">
        <f ca="1">IF(ROWS($1:6)&gt;COUNT(Dong14),"",OFFSET(TH!F$1,SMALL(Dong14,ROWS($1:6)),))</f>
        <v>VAT Phí nước ngoài giảm trừ</v>
      </c>
      <c r="E22" s="921" t="str">
        <f ca="1">IF(ROWS($1:6)&gt;COUNT(Dong14),"",IF(OFFSET(TH!N$1,SMALL(Dong14,ROWS($1:6)),)="131",OFFSET(TH!O$1,SMALL(Dong14,ROWS($1:6)),),OFFSET(TH!N$1,SMALL(Dong14,ROWS($1:6)),)))</f>
        <v>1331</v>
      </c>
      <c r="F22" s="921">
        <f ca="1">IF(ROWS($1:6)&gt;COUNT(Dong14),0,OFFSET(TH!L$1,SMALL(Dong14,ROWS($1:6)),))</f>
        <v>22260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11.514959568733154</v>
      </c>
      <c r="K22" s="921">
        <f ca="1">IF(ROWS($1:6)&gt;COUNT(Dong14),0,IF(OFFSET(TH!O$1,SMALL(Dong14,ROWS($1:6)),)="131",OFFSET(TH!M$1,SMALL(Dong14,ROWS($1:6)),),0))</f>
        <v>256323</v>
      </c>
      <c r="L22" s="915">
        <f t="shared" ca="1" si="1"/>
        <v>0.01</v>
      </c>
      <c r="M22" s="914">
        <f t="shared" ca="1" si="2"/>
        <v>0</v>
      </c>
      <c r="N22" s="915">
        <f t="shared" ca="1" si="3"/>
        <v>0</v>
      </c>
      <c r="O22" s="914">
        <f t="shared" ca="1" si="4"/>
        <v>765600</v>
      </c>
    </row>
    <row r="23" spans="1:16" s="5" customFormat="1" ht="16.5" customHeight="1">
      <c r="A23" s="227">
        <f t="shared" ca="1" si="0"/>
        <v>42489</v>
      </c>
      <c r="B23" s="231" t="str">
        <f ca="1">IF(ROWS($1:7)&gt;COUNT(Dong14),"",OFFSET(TH!D$1,SMALL(Dong14,ROWS($1:7)),))</f>
        <v>GBN</v>
      </c>
      <c r="C23" s="227">
        <f ca="1">IF(ROWS($1:7)&gt;COUNT(Dong14),"",OFFSET(TH!E$1,SMALL(Dong14,ROWS($1:7)),))</f>
        <v>42489</v>
      </c>
      <c r="D23" s="923" t="str">
        <f ca="1">IF(ROWS($1:7)&gt;COUNT(Dong14),"",OFFSET(TH!F$1,SMALL(Dong14,ROWS($1:7)),))</f>
        <v>Chênh lệch tỷ giá</v>
      </c>
      <c r="E23" s="921" t="str">
        <f ca="1">IF(ROWS($1:7)&gt;COUNT(Dong14),"",IF(OFFSET(TH!N$1,SMALL(Dong14,ROWS($1:7)),)="131",OFFSET(TH!O$1,SMALL(Dong14,ROWS($1:7)),),OFFSET(TH!N$1,SMALL(Dong14,ROWS($1:7)),)))</f>
        <v>515</v>
      </c>
      <c r="F23" s="921">
        <f ca="1">IF(ROWS($1:7)&gt;COUNT(Dong14),0,OFFSET(TH!L$1,SMALL(Dong14,ROWS($1:7)),))</f>
        <v>0</v>
      </c>
      <c r="G23" s="921"/>
      <c r="H23" s="922">
        <f ca="1">IF(ROWS($1:7)&gt;COUNT(Dong14),0,IF(OFFSET(TH!N$1,SMALL(Dong14,ROWS($1:7)),)="131",OFFSET(TH!K$1,SMALL(Dong14,ROWS($1:7)),),0))</f>
        <v>0</v>
      </c>
      <c r="I23" s="921">
        <f ca="1">IF(ROWS($1:7)&gt;COUNT(Dong14),0,IF(OFFSET(TH!N$1,SMALL(Dong14,ROWS($1:7)),)="131",OFFSET(TH!M$1,SMALL(Dong14,ROWS($1:7)),),0))</f>
        <v>765600</v>
      </c>
      <c r="J23" s="922">
        <f ca="1">IF(ROWS($1:7)&gt;COUNT(Dong14),0,IF(OFFSET(TH!O$1,SMALL(Dong14,ROWS($1:7)),)="131",OFFSET(TH!K$1,SMALL(Dong14,ROWS($1:7)),),0))</f>
        <v>0</v>
      </c>
      <c r="K23" s="921">
        <f ca="1">IF(ROWS($1:7)&gt;COUNT(Dong14),0,IF(OFFSET(TH!O$1,SMALL(Dong14,ROWS($1:7)),)="131",OFFSET(TH!M$1,SMALL(Dong14,ROWS($1:7)),),0))</f>
        <v>0</v>
      </c>
      <c r="L23" s="915">
        <f t="shared" ca="1" si="1"/>
        <v>0.01</v>
      </c>
      <c r="M23" s="914">
        <f t="shared" ca="1" si="2"/>
        <v>0</v>
      </c>
      <c r="N23" s="915">
        <f t="shared" ca="1" si="3"/>
        <v>0</v>
      </c>
      <c r="O23" s="914">
        <f t="shared" ca="1" si="4"/>
        <v>0</v>
      </c>
    </row>
    <row r="24" spans="1:16" s="5" customFormat="1" ht="16.5" customHeight="1">
      <c r="A24" s="227" t="str">
        <f t="shared" ca="1" si="0"/>
        <v/>
      </c>
      <c r="B24" s="231" t="str">
        <f ca="1">IF(ROWS($1:8)&gt;COUNT(Dong14),"",OFFSET(TH!D$1,SMALL(Dong14,ROWS($1:8)),))</f>
        <v/>
      </c>
      <c r="C24" s="227" t="str">
        <f ca="1">IF(ROWS($1:8)&gt;COUNT(Dong14),"",OFFSET(TH!E$1,SMALL(Dong14,ROWS($1:8)),))</f>
        <v/>
      </c>
      <c r="D24" s="923" t="str">
        <f ca="1">IF(ROWS($1:8)&gt;COUNT(Dong14),"",OFFSET(TH!F$1,SMALL(Dong14,ROWS($1:8)),))</f>
        <v/>
      </c>
      <c r="E24" s="921" t="str">
        <f ca="1">IF(ROWS($1:8)&gt;COUNT(Dong14),"",IF(OFFSET(TH!N$1,SMALL(Dong14,ROWS($1:8)),)="131",OFFSET(TH!O$1,SMALL(Dong14,ROWS($1:8)),),OFFSET(TH!N$1,SMALL(Dong14,ROWS($1:8)),)))</f>
        <v/>
      </c>
      <c r="F24" s="921">
        <f ca="1">IF(ROWS($1:8)&gt;COUNT(Dong14),0,OFFSET(TH!L$1,SMALL(Dong14,ROWS($1:8)),))</f>
        <v>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0</v>
      </c>
      <c r="K24" s="921">
        <f ca="1">IF(ROWS($1:8)&gt;COUNT(Dong14),0,IF(OFFSET(TH!O$1,SMALL(Dong14,ROWS($1:8)),)="131",OFFSET(TH!M$1,SMALL(Dong14,ROWS($1:8)),),0))</f>
        <v>0</v>
      </c>
      <c r="L24" s="915">
        <f t="shared" ca="1" si="1"/>
        <v>0</v>
      </c>
      <c r="M24" s="914">
        <f t="shared" ca="1" si="2"/>
        <v>0</v>
      </c>
      <c r="N24" s="915">
        <f t="shared" ca="1" si="3"/>
        <v>0</v>
      </c>
      <c r="O24" s="914">
        <f t="shared" ca="1" si="4"/>
        <v>0</v>
      </c>
    </row>
    <row r="25" spans="1:16" s="5" customFormat="1" ht="16.5" customHeight="1">
      <c r="A25" s="227" t="str">
        <f t="shared" ca="1" si="0"/>
        <v/>
      </c>
      <c r="B25" s="231" t="str">
        <f ca="1">IF(ROWS($1:9)&gt;COUNT(Dong14),"",OFFSET(TH!D$1,SMALL(Dong14,ROWS($1:9)),))</f>
        <v/>
      </c>
      <c r="C25" s="227" t="str">
        <f ca="1">IF(ROWS($1:9)&gt;COUNT(Dong14),"",OFFSET(TH!E$1,SMALL(Dong14,ROWS($1:9)),))</f>
        <v/>
      </c>
      <c r="D25" s="923" t="str">
        <f ca="1">IF(ROWS($1:9)&gt;COUNT(Dong14),"",OFFSET(TH!F$1,SMALL(Dong14,ROWS($1:9)),))</f>
        <v/>
      </c>
      <c r="E25" s="921" t="str">
        <f ca="1">IF(ROWS($1:9)&gt;COUNT(Dong14),"",IF(OFFSET(TH!N$1,SMALL(Dong14,ROWS($1:9)),)="131",OFFSET(TH!O$1,SMALL(Dong14,ROWS($1:9)),),OFFSET(TH!N$1,SMALL(Dong14,ROWS($1:9)),)))</f>
        <v/>
      </c>
      <c r="F25" s="921">
        <f ca="1">IF(ROWS($1:9)&gt;COUNT(Dong14),0,OFFSET(TH!L$1,SMALL(Dong14,ROWS($1:9)),))</f>
        <v>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0</v>
      </c>
      <c r="K25" s="921">
        <f ca="1">IF(ROWS($1:9)&gt;COUNT(Dong14),0,IF(OFFSET(TH!O$1,SMALL(Dong14,ROWS($1:9)),)="131",OFFSET(TH!M$1,SMALL(Dong14,ROWS($1:9)),),0))</f>
        <v>0</v>
      </c>
      <c r="L25" s="915">
        <f t="shared" ca="1" si="1"/>
        <v>0</v>
      </c>
      <c r="M25" s="914">
        <f t="shared" ca="1" si="2"/>
        <v>0</v>
      </c>
      <c r="N25" s="915">
        <f t="shared" ca="1" si="3"/>
        <v>0</v>
      </c>
      <c r="O25" s="914">
        <f t="shared" ca="1" si="4"/>
        <v>0</v>
      </c>
    </row>
    <row r="26" spans="1:16" s="5" customFormat="1" ht="16.5" customHeight="1">
      <c r="A26" s="227" t="str">
        <f t="shared" ca="1" si="0"/>
        <v/>
      </c>
      <c r="B26" s="231" t="str">
        <f ca="1">IF(ROWS($1:10)&gt;COUNT(Dong14),"",OFFSET(TH!D$1,SMALL(Dong14,ROWS($1:10)),))</f>
        <v/>
      </c>
      <c r="C26" s="227" t="str">
        <f ca="1">IF(ROWS($1:10)&gt;COUNT(Dong14),"",OFFSET(TH!E$1,SMALL(Dong14,ROWS($1:10)),))</f>
        <v/>
      </c>
      <c r="D26" s="923" t="str">
        <f ca="1">IF(ROWS($1:10)&gt;COUNT(Dong14),"",OFFSET(TH!F$1,SMALL(Dong14,ROWS($1:10)),))</f>
        <v/>
      </c>
      <c r="E26" s="921" t="str">
        <f ca="1">IF(ROWS($1:10)&gt;COUNT(Dong14),"",IF(OFFSET(TH!N$1,SMALL(Dong14,ROWS($1:10)),)="131",OFFSET(TH!O$1,SMALL(Dong14,ROWS($1:10)),),OFFSET(TH!N$1,SMALL(Dong14,ROWS($1:10)),)))</f>
        <v/>
      </c>
      <c r="F26" s="921">
        <f ca="1">IF(ROWS($1:10)&gt;COUNT(Dong14),0,OFFSET(TH!L$1,SMALL(Dong14,ROWS($1:10)),))</f>
        <v>0</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0</v>
      </c>
      <c r="K26" s="921">
        <f ca="1">IF(ROWS($1:10)&gt;COUNT(Dong14),0,IF(OFFSET(TH!O$1,SMALL(Dong14,ROWS($1:10)),)="131",OFFSET(TH!M$1,SMALL(Dong14,ROWS($1:10)),),0))</f>
        <v>0</v>
      </c>
      <c r="L26" s="915">
        <f t="shared" ca="1" si="1"/>
        <v>0</v>
      </c>
      <c r="M26" s="914">
        <f t="shared" ca="1" si="2"/>
        <v>0</v>
      </c>
      <c r="N26" s="915">
        <f t="shared" ca="1" si="3"/>
        <v>0</v>
      </c>
      <c r="O26" s="914">
        <f t="shared" ca="1" si="4"/>
        <v>0</v>
      </c>
    </row>
    <row r="27" spans="1:16" s="5" customFormat="1" ht="16.5" customHeight="1">
      <c r="A27" s="227" t="str">
        <f t="shared" ca="1" si="0"/>
        <v/>
      </c>
      <c r="B27" s="231" t="str">
        <f ca="1">IF(ROWS($1:11)&gt;COUNT(Dong14),"",OFFSET(TH!D$1,SMALL(Dong14,ROWS($1:11)),))</f>
        <v/>
      </c>
      <c r="C27" s="227" t="str">
        <f ca="1">IF(ROWS($1:11)&gt;COUNT(Dong14),"",OFFSET(TH!E$1,SMALL(Dong14,ROWS($1:11)),))</f>
        <v/>
      </c>
      <c r="D27" s="923" t="str">
        <f ca="1">IF(ROWS($1:11)&gt;COUNT(Dong14),"",OFFSET(TH!F$1,SMALL(Dong14,ROWS($1:11)),))</f>
        <v/>
      </c>
      <c r="E27" s="921" t="str">
        <f ca="1">IF(ROWS($1:11)&gt;COUNT(Dong14),"",IF(OFFSET(TH!N$1,SMALL(Dong14,ROWS($1:11)),)="131",OFFSET(TH!O$1,SMALL(Dong14,ROWS($1:11)),),OFFSET(TH!N$1,SMALL(Dong14,ROWS($1:11)),)))</f>
        <v/>
      </c>
      <c r="F27" s="921">
        <f ca="1">IF(ROWS($1:11)&gt;COUNT(Dong14),0,OFFSET(TH!L$1,SMALL(Dong14,ROWS($1:11)),))</f>
        <v>0</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0</v>
      </c>
      <c r="K27" s="921">
        <f ca="1">IF(ROWS($1:11)&gt;COUNT(Dong14),0,IF(OFFSET(TH!O$1,SMALL(Dong14,ROWS($1:11)),)="131",OFFSET(TH!M$1,SMALL(Dong14,ROWS($1:11)),),0))</f>
        <v>0</v>
      </c>
      <c r="L27" s="915">
        <f t="shared" ca="1" si="1"/>
        <v>0</v>
      </c>
      <c r="M27" s="914">
        <f t="shared" ca="1" si="2"/>
        <v>0</v>
      </c>
      <c r="N27" s="915">
        <f t="shared" ca="1" si="3"/>
        <v>0</v>
      </c>
      <c r="O27" s="914">
        <f t="shared" ca="1" si="4"/>
        <v>0</v>
      </c>
    </row>
    <row r="28" spans="1:16" s="5" customFormat="1" ht="16.5" customHeight="1">
      <c r="A28" s="227" t="str">
        <f t="shared" ca="1" si="0"/>
        <v/>
      </c>
      <c r="B28" s="231" t="str">
        <f ca="1">IF(ROWS($1:12)&gt;COUNT(Dong14),"",OFFSET(TH!D$1,SMALL(Dong14,ROWS($1:12)),))</f>
        <v/>
      </c>
      <c r="C28" s="227" t="str">
        <f ca="1">IF(ROWS($1:12)&gt;COUNT(Dong14),"",OFFSET(TH!E$1,SMALL(Dong14,ROWS($1:12)),))</f>
        <v/>
      </c>
      <c r="D28" s="923" t="str">
        <f ca="1">IF(ROWS($1:12)&gt;COUNT(Dong14),"",OFFSET(TH!F$1,SMALL(Dong14,ROWS($1:12)),))</f>
        <v/>
      </c>
      <c r="E28" s="921" t="str">
        <f ca="1">IF(ROWS($1:12)&gt;COUNT(Dong14),"",IF(OFFSET(TH!N$1,SMALL(Dong14,ROWS($1:12)),)="131",OFFSET(TH!O$1,SMALL(Dong14,ROWS($1:12)),),OFFSET(TH!N$1,SMALL(Dong14,ROWS($1:12)),)))</f>
        <v/>
      </c>
      <c r="F28" s="921">
        <f ca="1">IF(ROWS($1:12)&gt;COUNT(Dong14),0,OFFSET(TH!L$1,SMALL(Dong14,ROWS($1:12)),))</f>
        <v>0</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0</v>
      </c>
      <c r="K28" s="921">
        <f ca="1">IF(ROWS($1:12)&gt;COUNT(Dong14),0,IF(OFFSET(TH!O$1,SMALL(Dong14,ROWS($1:12)),)="131",OFFSET(TH!M$1,SMALL(Dong14,ROWS($1:12)),),0))</f>
        <v>0</v>
      </c>
      <c r="L28" s="915">
        <f t="shared" ca="1" si="1"/>
        <v>0</v>
      </c>
      <c r="M28" s="914">
        <f t="shared" ca="1" si="2"/>
        <v>0</v>
      </c>
      <c r="N28" s="915">
        <f t="shared" ca="1" si="3"/>
        <v>0</v>
      </c>
      <c r="O28" s="914">
        <f t="shared" ca="1" si="4"/>
        <v>0</v>
      </c>
    </row>
    <row r="29" spans="1:16" s="5" customFormat="1" ht="16.5" customHeight="1">
      <c r="A29" s="227" t="str">
        <f t="shared" ca="1" si="0"/>
        <v/>
      </c>
      <c r="B29" s="231" t="str">
        <f ca="1">IF(ROWS($1:13)&gt;COUNT(Dong14),"",OFFSET(TH!D$1,SMALL(Dong14,ROWS($1:13)),))</f>
        <v/>
      </c>
      <c r="C29" s="227" t="str">
        <f ca="1">IF(ROWS($1:13)&gt;COUNT(Dong14),"",OFFSET(TH!E$1,SMALL(Dong14,ROWS($1:13)),))</f>
        <v/>
      </c>
      <c r="D29" s="923" t="str">
        <f ca="1">IF(ROWS($1:13)&gt;COUNT(Dong14),"",OFFSET(TH!F$1,SMALL(Dong14,ROWS($1:13)),))</f>
        <v/>
      </c>
      <c r="E29" s="921" t="str">
        <f ca="1">IF(ROWS($1:13)&gt;COUNT(Dong14),"",IF(OFFSET(TH!N$1,SMALL(Dong14,ROWS($1:13)),)="131",OFFSET(TH!O$1,SMALL(Dong14,ROWS($1:13)),),OFFSET(TH!N$1,SMALL(Dong14,ROWS($1:13)),)))</f>
        <v/>
      </c>
      <c r="F29" s="921">
        <f ca="1">IF(ROWS($1:13)&gt;COUNT(Dong14),0,OFFSET(TH!L$1,SMALL(Dong14,ROWS($1:13)),))</f>
        <v>0</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0</v>
      </c>
      <c r="K29" s="921">
        <f ca="1">IF(ROWS($1:13)&gt;COUNT(Dong14),0,IF(OFFSET(TH!O$1,SMALL(Dong14,ROWS($1:13)),)="131",OFFSET(TH!M$1,SMALL(Dong14,ROWS($1:13)),),0))</f>
        <v>0</v>
      </c>
      <c r="L29" s="915">
        <f t="shared" ca="1" si="1"/>
        <v>0</v>
      </c>
      <c r="M29" s="914">
        <f t="shared" ca="1" si="2"/>
        <v>0</v>
      </c>
      <c r="N29" s="915">
        <f t="shared" ca="1" si="3"/>
        <v>0</v>
      </c>
      <c r="O29" s="914">
        <f t="shared" ca="1" si="4"/>
        <v>0</v>
      </c>
    </row>
    <row r="30" spans="1:16" s="5" customFormat="1" ht="16.5" customHeight="1">
      <c r="A30" s="227" t="str">
        <f t="shared" ca="1" si="0"/>
        <v/>
      </c>
      <c r="B30" s="231" t="str">
        <f ca="1">IF(ROWS($1:14)&gt;COUNT(Dong14),"",OFFSET(TH!D$1,SMALL(Dong14,ROWS($1:14)),))</f>
        <v/>
      </c>
      <c r="C30" s="227" t="str">
        <f ca="1">IF(ROWS($1:14)&gt;COUNT(Dong14),"",OFFSET(TH!E$1,SMALL(Dong14,ROWS($1:14)),))</f>
        <v/>
      </c>
      <c r="D30" s="923" t="str">
        <f ca="1">IF(ROWS($1:14)&gt;COUNT(Dong14),"",OFFSET(TH!F$1,SMALL(Dong14,ROWS($1:14)),))</f>
        <v/>
      </c>
      <c r="E30" s="921" t="str">
        <f ca="1">IF(ROWS($1:14)&gt;COUNT(Dong14),"",IF(OFFSET(TH!N$1,SMALL(Dong14,ROWS($1:14)),)="131",OFFSET(TH!O$1,SMALL(Dong14,ROWS($1:14)),),OFFSET(TH!N$1,SMALL(Dong14,ROWS($1:14)),)))</f>
        <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0</v>
      </c>
      <c r="J30" s="922">
        <f ca="1">IF(ROWS($1:14)&gt;COUNT(Dong14),0,IF(OFFSET(TH!O$1,SMALL(Dong14,ROWS($1:14)),)="131",OFFSET(TH!K$1,SMALL(Dong14,ROWS($1:14)),),0))</f>
        <v>0</v>
      </c>
      <c r="K30" s="921">
        <f ca="1">IF(ROWS($1:14)&gt;COUNT(Dong14),0,IF(OFFSET(TH!O$1,SMALL(Dong14,ROWS($1:14)),)="131",OFFSET(TH!M$1,SMALL(Dong14,ROWS($1:14)),),0))</f>
        <v>0</v>
      </c>
      <c r="L30" s="915">
        <f t="shared" ca="1" si="1"/>
        <v>0</v>
      </c>
      <c r="M30" s="914">
        <f t="shared" ca="1" si="2"/>
        <v>0</v>
      </c>
      <c r="N30" s="915">
        <f t="shared" ca="1" si="3"/>
        <v>0</v>
      </c>
      <c r="O30" s="914">
        <f t="shared" ca="1" si="4"/>
        <v>0</v>
      </c>
    </row>
    <row r="31" spans="1:16" s="5" customFormat="1" ht="16.5" customHeight="1">
      <c r="A31" s="227" t="str">
        <f t="shared" ca="1" si="0"/>
        <v/>
      </c>
      <c r="B31" s="231" t="str">
        <f ca="1">IF(ROWS($1:15)&gt;COUNT(Dong14),"",OFFSET(TH!D$1,SMALL(Dong14,ROWS($1:15)),))</f>
        <v/>
      </c>
      <c r="C31" s="227" t="str">
        <f ca="1">IF(ROWS($1:15)&gt;COUNT(Dong14),"",OFFSET(TH!E$1,SMALL(Dong14,ROWS($1:15)),))</f>
        <v/>
      </c>
      <c r="D31" s="923" t="str">
        <f ca="1">IF(ROWS($1:15)&gt;COUNT(Dong14),"",OFFSET(TH!F$1,SMALL(Dong14,ROWS($1:15)),))</f>
        <v/>
      </c>
      <c r="E31" s="921" t="str">
        <f ca="1">IF(ROWS($1:15)&gt;COUNT(Dong14),"",IF(OFFSET(TH!N$1,SMALL(Dong14,ROWS($1:15)),)="131",OFFSET(TH!O$1,SMALL(Dong14,ROWS($1:15)),),OFFSET(TH!N$1,SMALL(Dong14,ROWS($1:15)),)))</f>
        <v/>
      </c>
      <c r="F31" s="921">
        <f ca="1">IF(ROWS($1:15)&gt;COUNT(Dong14),0,OFFSET(TH!L$1,SMALL(Dong14,ROWS($1:15)),))</f>
        <v>0</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0</v>
      </c>
      <c r="K31" s="921">
        <f ca="1">IF(ROWS($1:15)&gt;COUNT(Dong14),0,IF(OFFSET(TH!O$1,SMALL(Dong14,ROWS($1:15)),)="131",OFFSET(TH!M$1,SMALL(Dong14,ROWS($1:15)),),0))</f>
        <v>0</v>
      </c>
      <c r="L31" s="915">
        <f t="shared" ca="1" si="1"/>
        <v>0</v>
      </c>
      <c r="M31" s="914">
        <f t="shared" ca="1" si="2"/>
        <v>0</v>
      </c>
      <c r="N31" s="915">
        <f t="shared" ca="1" si="3"/>
        <v>0</v>
      </c>
      <c r="O31" s="914">
        <f t="shared" ca="1" si="4"/>
        <v>0</v>
      </c>
      <c r="P31" s="252"/>
    </row>
    <row r="32" spans="1:16" s="5" customFormat="1" ht="16.5" customHeight="1">
      <c r="A32" s="227" t="str">
        <f t="shared" ca="1" si="0"/>
        <v/>
      </c>
      <c r="B32" s="231" t="str">
        <f ca="1">IF(ROWS($1:16)&gt;COUNT(Dong14),"",OFFSET(TH!D$1,SMALL(Dong14,ROWS($1:16)),))</f>
        <v/>
      </c>
      <c r="C32" s="227" t="str">
        <f ca="1">IF(ROWS($1:16)&gt;COUNT(Dong14),"",OFFSET(TH!E$1,SMALL(Dong14,ROWS($1:16)),))</f>
        <v/>
      </c>
      <c r="D32" s="923" t="str">
        <f ca="1">IF(ROWS($1:16)&gt;COUNT(Dong14),"",OFFSET(TH!F$1,SMALL(Dong14,ROWS($1:16)),))</f>
        <v/>
      </c>
      <c r="E32" s="921" t="str">
        <f ca="1">IF(ROWS($1:16)&gt;COUNT(Dong14),"",IF(OFFSET(TH!N$1,SMALL(Dong14,ROWS($1:16)),)="131",OFFSET(TH!O$1,SMALL(Dong14,ROWS($1:16)),),OFFSET(TH!N$1,SMALL(Dong14,ROWS($1:16)),)))</f>
        <v/>
      </c>
      <c r="F32" s="921">
        <f ca="1">IF(ROWS($1:16)&gt;COUNT(Dong14),0,OFFSET(TH!L$1,SMALL(Dong14,ROWS($1:16)),))</f>
        <v>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0</v>
      </c>
      <c r="K32" s="921">
        <f ca="1">IF(ROWS($1:16)&gt;COUNT(Dong14),0,IF(OFFSET(TH!O$1,SMALL(Dong14,ROWS($1:16)),)="131",OFFSET(TH!M$1,SMALL(Dong14,ROWS($1:16)),),0))</f>
        <v>0</v>
      </c>
      <c r="L32" s="915">
        <f t="shared" ca="1" si="1"/>
        <v>0</v>
      </c>
      <c r="M32" s="914">
        <f t="shared" ca="1" si="2"/>
        <v>0</v>
      </c>
      <c r="N32" s="915">
        <f t="shared" ca="1" si="3"/>
        <v>0</v>
      </c>
      <c r="O32" s="914">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3" t="str">
        <f ca="1">IF(ROWS($1:17)&gt;COUNT(Dong14),"",OFFSET(TH!F$1,SMALL(Dong14,ROWS($1:17)),))</f>
        <v/>
      </c>
      <c r="E33" s="921" t="str">
        <f ca="1">IF(ROWS($1:17)&gt;COUNT(Dong14),"",IF(OFFSET(TH!N$1,SMALL(Dong14,ROWS($1:17)),)="131",OFFSET(TH!O$1,SMALL(Dong14,ROWS($1:17)),),OFFSET(TH!N$1,SMALL(Dong14,ROWS($1:17)),)))</f>
        <v/>
      </c>
      <c r="F33" s="921">
        <f ca="1">IF(ROWS($1:17)&gt;COUNT(Dong14),0,OFFSET(TH!L$1,SMALL(Dong14,ROWS($1:17)),))</f>
        <v>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0</v>
      </c>
      <c r="K33" s="921">
        <f ca="1">IF(ROWS($1:17)&gt;COUNT(Dong14),0,IF(OFFSET(TH!O$1,SMALL(Dong14,ROWS($1:17)),)="131",OFFSET(TH!M$1,SMALL(Dong14,ROWS($1:17)),),0))</f>
        <v>0</v>
      </c>
      <c r="L33" s="915">
        <f t="shared" ca="1" si="1"/>
        <v>0</v>
      </c>
      <c r="M33" s="914">
        <f t="shared" ca="1" si="2"/>
        <v>0</v>
      </c>
      <c r="N33" s="915">
        <f t="shared" ca="1" si="3"/>
        <v>0</v>
      </c>
      <c r="O33" s="914">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3" t="str">
        <f ca="1">IF(ROWS($1:18)&gt;COUNT(Dong14),"",OFFSET(TH!F$1,SMALL(Dong14,ROWS($1:18)),))</f>
        <v/>
      </c>
      <c r="E34" s="921" t="str">
        <f ca="1">IF(ROWS($1:18)&gt;COUNT(Dong14),"",IF(OFFSET(TH!N$1,SMALL(Dong14,ROWS($1:18)),)="131",OFFSET(TH!O$1,SMALL(Dong14,ROWS($1:18)),),OFFSET(TH!N$1,SMALL(Dong14,ROWS($1:18)),)))</f>
        <v/>
      </c>
      <c r="F34" s="921">
        <f ca="1">IF(ROWS($1:18)&gt;COUNT(Dong14),0,OFFSET(TH!L$1,SMALL(Dong14,ROWS($1:18)),))</f>
        <v>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0</v>
      </c>
      <c r="K34" s="921">
        <f ca="1">IF(ROWS($1:18)&gt;COUNT(Dong14),0,IF(OFFSET(TH!O$1,SMALL(Dong14,ROWS($1:18)),)="131",OFFSET(TH!M$1,SMALL(Dong14,ROWS($1:18)),),0))</f>
        <v>0</v>
      </c>
      <c r="L34" s="915">
        <f t="shared" ca="1" si="1"/>
        <v>0</v>
      </c>
      <c r="M34" s="914">
        <f t="shared" ca="1" si="2"/>
        <v>0</v>
      </c>
      <c r="N34" s="915">
        <f t="shared" ca="1" si="3"/>
        <v>0</v>
      </c>
      <c r="O34" s="914">
        <f t="shared" ca="1" si="4"/>
        <v>0</v>
      </c>
    </row>
    <row r="35" spans="1:15" s="5" customFormat="1" ht="16.5" customHeight="1">
      <c r="A35" s="227" t="str">
        <f ca="1">IF(C35&lt;&gt;"",C35,"")</f>
        <v/>
      </c>
      <c r="B35" s="231" t="str">
        <f ca="1">IF(ROWS($1:19)&gt;COUNT(Dong14),"",OFFSET(TH!D$1,SMALL(Dong14,ROWS($1:19)),))</f>
        <v/>
      </c>
      <c r="C35" s="227" t="str">
        <f ca="1">IF(ROWS($1:19)&gt;COUNT(Dong14),"",OFFSET(TH!E$1,SMALL(Dong14,ROWS($1:19)),))</f>
        <v/>
      </c>
      <c r="D35" s="923" t="str">
        <f ca="1">IF(ROWS($1:19)&gt;COUNT(Dong14),"",OFFSET(TH!F$1,SMALL(Dong14,ROWS($1:19)),))</f>
        <v/>
      </c>
      <c r="E35" s="921" t="str">
        <f ca="1">IF(ROWS($1:19)&gt;COUNT(Dong14),"",IF(OFFSET(TH!N$1,SMALL(Dong14,ROWS($1:19)),)="131",OFFSET(TH!O$1,SMALL(Dong14,ROWS($1:19)),),OFFSET(TH!N$1,SMALL(Dong14,ROWS($1:19)),)))</f>
        <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0</v>
      </c>
      <c r="J35" s="922">
        <f ca="1">IF(ROWS($1:19)&gt;COUNT(Dong14),0,IF(OFFSET(TH!O$1,SMALL(Dong14,ROWS($1:19)),)="131",OFFSET(TH!K$1,SMALL(Dong14,ROWS($1:19)),),0))</f>
        <v>0</v>
      </c>
      <c r="K35" s="921">
        <f ca="1">IF(ROWS($1:19)&gt;COUNT(Dong14),0,IF(OFFSET(TH!O$1,SMALL(Dong14,ROWS($1:19)),)="131",OFFSET(TH!M$1,SMALL(Dong14,ROWS($1:19)),),0))</f>
        <v>0</v>
      </c>
      <c r="L35" s="915">
        <f ca="1">IF(D35&lt;&gt;"",ROUND(MAX(L34+H35-J35-N34,0),2),0)</f>
        <v>0</v>
      </c>
      <c r="M35" s="914">
        <f ca="1">IF(D35&lt;&gt;"",MAX(M34-O34+I35-K35,0),0)</f>
        <v>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76560</v>
      </c>
      <c r="I52" s="908">
        <f ca="1">SUM(I17:I51)</f>
        <v>1704225600</v>
      </c>
      <c r="J52" s="910">
        <f ca="1">SUM(J17:J51)</f>
        <v>76560.000000000015</v>
      </c>
      <c r="K52" s="908">
        <f ca="1">ROUND(SUM(K17:K51),0)</f>
        <v>1704225600</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0</v>
      </c>
      <c r="M53" s="908">
        <f ca="1">ROUND(MAX(M16+I52-O16-K52,0),0)</f>
        <v>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40" t="s">
        <v>176</v>
      </c>
      <c r="K56" s="1240"/>
      <c r="L56" s="1240"/>
      <c r="M56" s="1240"/>
      <c r="N56" s="1240"/>
      <c r="O56" s="1240"/>
    </row>
    <row r="57" spans="1:15" s="5" customFormat="1" ht="15">
      <c r="A57" s="4"/>
      <c r="C57" s="4"/>
      <c r="D57" s="1102" t="s">
        <v>11</v>
      </c>
      <c r="E57" s="4"/>
      <c r="F57" s="872"/>
      <c r="G57" s="905"/>
      <c r="H57" s="906"/>
      <c r="I57" s="905"/>
      <c r="J57" s="251"/>
      <c r="K57" s="905"/>
      <c r="L57" s="1240" t="s">
        <v>12</v>
      </c>
      <c r="M57" s="1240"/>
    </row>
    <row r="58" spans="1:15" s="5" customFormat="1" ht="15">
      <c r="A58" s="4"/>
      <c r="C58" s="4"/>
      <c r="D58" s="1102" t="s">
        <v>13</v>
      </c>
      <c r="E58" s="4"/>
      <c r="F58" s="872"/>
      <c r="G58" s="905"/>
      <c r="H58" s="906"/>
      <c r="I58" s="905"/>
      <c r="J58" s="251"/>
      <c r="K58" s="905"/>
      <c r="L58" s="1240" t="s">
        <v>13</v>
      </c>
      <c r="M58" s="1240"/>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enableFormatConditionsCalculation="0">
    <tabColor rgb="FFFF0000"/>
  </sheetPr>
  <dimension ref="A1:I57"/>
  <sheetViews>
    <sheetView showZeros="0" workbookViewId="0">
      <pane ySplit="3" topLeftCell="A19" activePane="bottomLeft" state="frozen"/>
      <selection pane="bottomLeft" activeCell="F27" sqref="F27"/>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65" t="s">
        <v>124</v>
      </c>
      <c r="B1" s="1265"/>
      <c r="C1" s="1265"/>
      <c r="D1" s="1265"/>
      <c r="E1" s="1265"/>
      <c r="F1" s="1265"/>
      <c r="G1" s="1265"/>
      <c r="H1" s="1265"/>
    </row>
    <row r="2" spans="1:8" s="10" customFormat="1" ht="14.25" customHeight="1">
      <c r="A2" s="1287" t="s">
        <v>37</v>
      </c>
      <c r="B2" s="1289" t="s">
        <v>38</v>
      </c>
      <c r="C2" s="1285" t="s">
        <v>39</v>
      </c>
      <c r="D2" s="1286"/>
      <c r="E2" s="1285" t="s">
        <v>40</v>
      </c>
      <c r="F2" s="1286"/>
      <c r="G2" s="1285" t="s">
        <v>44</v>
      </c>
      <c r="H2" s="1286"/>
    </row>
    <row r="3" spans="1:8" s="10" customFormat="1" ht="14.25" customHeight="1">
      <c r="A3" s="1288"/>
      <c r="B3" s="1290"/>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28484954</v>
      </c>
      <c r="F5" s="8">
        <f t="array" ref="F5">SUM(IF("331"&amp;B5=KHC&amp;KH,TH))</f>
        <v>28484954</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86941224</v>
      </c>
      <c r="G8" s="91">
        <f t="shared" si="0"/>
        <v>0</v>
      </c>
      <c r="H8" s="91">
        <f t="shared" si="1"/>
        <v>86941224</v>
      </c>
    </row>
    <row r="9" spans="1:8" s="10" customFormat="1" ht="16.5" customHeight="1">
      <c r="A9" s="6">
        <f t="shared" si="2"/>
        <v>6</v>
      </c>
      <c r="B9" s="77" t="s">
        <v>627</v>
      </c>
      <c r="C9" s="8">
        <v>0</v>
      </c>
      <c r="D9" s="8">
        <v>60990540</v>
      </c>
      <c r="E9" s="8">
        <f t="array" ref="E9">SUM(IF("331"&amp;B9=KHN&amp;KH,TH))</f>
        <v>98798640</v>
      </c>
      <c r="F9" s="8">
        <f t="array" ref="F9">SUM(IF("331"&amp;B9=KHC&amp;KH,TH))</f>
        <v>37808100</v>
      </c>
      <c r="G9" s="91">
        <f t="shared" si="0"/>
        <v>0</v>
      </c>
      <c r="H9" s="91">
        <f t="shared" si="1"/>
        <v>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15200000</v>
      </c>
      <c r="G20" s="91">
        <f t="shared" si="5"/>
        <v>0</v>
      </c>
      <c r="H20" s="91">
        <f t="shared" si="6"/>
        <v>139997985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367269046</v>
      </c>
      <c r="F22" s="8">
        <f t="array" ref="F22">SUM(IF("331"&amp;B22=KHC&amp;KH,TH))</f>
        <v>394813816</v>
      </c>
      <c r="G22" s="91">
        <f t="shared" si="5"/>
        <v>0</v>
      </c>
      <c r="H22" s="91">
        <f t="shared" si="6"/>
        <v>66743600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52"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ref="A27" si="9">IF(B27&lt;&gt;"",ROW()-3,"")</f>
        <v>24</v>
      </c>
      <c r="B27" s="322" t="s">
        <v>1523</v>
      </c>
      <c r="C27" s="8">
        <v>0</v>
      </c>
      <c r="D27" s="8">
        <v>0</v>
      </c>
      <c r="E27" s="8">
        <f t="array" ref="E27">SUM(IF("331"&amp;B27=KHN&amp;KH,TH))</f>
        <v>0</v>
      </c>
      <c r="F27" s="8">
        <f t="array" ref="F27">SUM(IF("331"&amp;B27=KHC&amp;KH,TH))</f>
        <v>111886515</v>
      </c>
      <c r="G27" s="91">
        <f>ROUND(MAX(C27+E27-D27-F27,0),2)</f>
        <v>0</v>
      </c>
      <c r="H27" s="91">
        <f>ROUND(MAX(D27+F27-C27-E27,0),2)</f>
        <v>111886515</v>
      </c>
      <c r="I27" s="977" t="str">
        <f>IF(ISNA(VLOOKUP(B27,DSNL,6,0)),"",VLOOKUP(B27,DSNL,6,0))</f>
        <v/>
      </c>
    </row>
    <row r="28" spans="1:9" s="977" customFormat="1" ht="16.5" customHeight="1">
      <c r="A28" s="6">
        <f t="shared" si="8"/>
        <v>25</v>
      </c>
      <c r="B28" s="975" t="s">
        <v>429</v>
      </c>
      <c r="C28" s="971"/>
      <c r="D28" s="971"/>
      <c r="E28" s="971">
        <f t="array" ref="E28">SUM(IF("331"&amp;B28=KHN&amp;KH,TH))</f>
        <v>307423600</v>
      </c>
      <c r="F28" s="971">
        <f t="array" ref="F28">SUM(IF("331"&amp;B28=KHC&amp;KH,TH))</f>
        <v>307423600</v>
      </c>
      <c r="G28" s="976">
        <f t="shared" ref="G28:G51" si="10">ROUND(MAX(C28+E28-D28-F28,0),2)</f>
        <v>0</v>
      </c>
      <c r="H28" s="976">
        <f t="shared" ref="H28:H51" si="11">ROUND(MAX(D28+F28-C28-E28,0),2)</f>
        <v>0</v>
      </c>
      <c r="I28" s="977" t="str">
        <f t="shared" ref="I28:I52" si="12">IF(ISNA(VLOOKUP(B28,DSNL,6,0)),"",VLOOKUP(B28,DSNL,6,0))</f>
        <v>Hai</v>
      </c>
    </row>
    <row r="29" spans="1:9" s="977" customFormat="1" ht="16.5" customHeight="1">
      <c r="A29" s="6">
        <f t="shared" si="8"/>
        <v>26</v>
      </c>
      <c r="B29" s="975" t="s">
        <v>432</v>
      </c>
      <c r="C29" s="971"/>
      <c r="D29" s="971"/>
      <c r="E29" s="971">
        <f t="array" ref="E29">SUM(IF("331"&amp;B29=KHN&amp;KH,TH))</f>
        <v>416013200</v>
      </c>
      <c r="F29" s="971">
        <f t="array" ref="F29">SUM(IF("331"&amp;B29=KHC&amp;KH,TH))</f>
        <v>416013200</v>
      </c>
      <c r="G29" s="976">
        <f t="shared" si="10"/>
        <v>0</v>
      </c>
      <c r="H29" s="976">
        <f t="shared" si="11"/>
        <v>0</v>
      </c>
      <c r="I29" s="977" t="str">
        <f t="shared" si="12"/>
        <v>Hai</v>
      </c>
    </row>
    <row r="30" spans="1:9" s="977" customFormat="1" ht="16.5" customHeight="1">
      <c r="A30" s="6">
        <f t="shared" si="8"/>
        <v>27</v>
      </c>
      <c r="B30" s="975" t="s">
        <v>434</v>
      </c>
      <c r="C30" s="971"/>
      <c r="D30" s="971"/>
      <c r="E30" s="971">
        <f t="array" ref="E30">SUM(IF("331"&amp;B30=KHN&amp;KH,TH))</f>
        <v>519129200</v>
      </c>
      <c r="F30" s="971">
        <f t="array" ref="F30">SUM(IF("331"&amp;B30=KHC&amp;KH,TH))</f>
        <v>519129200</v>
      </c>
      <c r="G30" s="976">
        <f t="shared" si="10"/>
        <v>0</v>
      </c>
      <c r="H30" s="976">
        <f t="shared" si="11"/>
        <v>0</v>
      </c>
      <c r="I30" s="977" t="str">
        <f t="shared" si="12"/>
        <v>Hai</v>
      </c>
    </row>
    <row r="31" spans="1:9" s="977" customFormat="1" ht="16.5" customHeight="1">
      <c r="A31" s="6">
        <f t="shared" si="8"/>
        <v>28</v>
      </c>
      <c r="B31" s="975" t="s">
        <v>436</v>
      </c>
      <c r="C31" s="971"/>
      <c r="D31" s="971"/>
      <c r="E31" s="971">
        <f t="array" ref="E31">SUM(IF("331"&amp;B31=KHN&amp;KH,TH))</f>
        <v>519751200</v>
      </c>
      <c r="F31" s="971">
        <f t="array" ref="F31">SUM(IF("331"&amp;B31=KHC&amp;KH,TH))</f>
        <v>519751200</v>
      </c>
      <c r="G31" s="976">
        <f t="shared" si="10"/>
        <v>0</v>
      </c>
      <c r="H31" s="976">
        <f t="shared" si="11"/>
        <v>0</v>
      </c>
      <c r="I31" s="977" t="str">
        <f t="shared" si="12"/>
        <v>Hai</v>
      </c>
    </row>
    <row r="32" spans="1:9" s="977" customFormat="1" ht="16.5" customHeight="1">
      <c r="A32" s="6">
        <f t="shared" si="8"/>
        <v>29</v>
      </c>
      <c r="B32" s="975" t="s">
        <v>438</v>
      </c>
      <c r="C32" s="971"/>
      <c r="D32" s="971"/>
      <c r="E32" s="971">
        <f t="array" ref="E32">SUM(IF("331"&amp;B32=KHN&amp;KH,TH))</f>
        <v>405824800</v>
      </c>
      <c r="F32" s="971">
        <f t="array" ref="F32">SUM(IF("331"&amp;B32=KHC&amp;KH,TH))</f>
        <v>405824800</v>
      </c>
      <c r="G32" s="976">
        <f t="shared" si="10"/>
        <v>0</v>
      </c>
      <c r="H32" s="976">
        <f t="shared" si="11"/>
        <v>0</v>
      </c>
      <c r="I32" s="977" t="str">
        <f t="shared" si="12"/>
        <v>Hai</v>
      </c>
    </row>
    <row r="33" spans="1:9" s="977" customFormat="1" ht="16.5" customHeight="1">
      <c r="A33" s="6">
        <f t="shared" si="8"/>
        <v>30</v>
      </c>
      <c r="B33" s="975" t="s">
        <v>439</v>
      </c>
      <c r="C33" s="971"/>
      <c r="D33" s="971"/>
      <c r="E33" s="971">
        <f t="array" ref="E33">SUM(IF("331"&amp;B33=KHN&amp;KH,TH))</f>
        <v>377897600</v>
      </c>
      <c r="F33" s="971">
        <f t="array" ref="F33">SUM(IF("331"&amp;B33=KHC&amp;KH,TH))</f>
        <v>377897600</v>
      </c>
      <c r="G33" s="976">
        <f t="shared" si="10"/>
        <v>0</v>
      </c>
      <c r="H33" s="976">
        <f t="shared" si="11"/>
        <v>0</v>
      </c>
      <c r="I33" s="977" t="str">
        <f t="shared" si="12"/>
        <v>Hai</v>
      </c>
    </row>
    <row r="34" spans="1:9" s="977" customFormat="1" ht="16.5" customHeight="1">
      <c r="A34" s="6">
        <f t="shared" si="8"/>
        <v>31</v>
      </c>
      <c r="B34" s="975" t="s">
        <v>443</v>
      </c>
      <c r="C34" s="971"/>
      <c r="D34" s="971"/>
      <c r="E34" s="971">
        <f t="array" ref="E34">SUM(IF("331"&amp;B34=KHN&amp;KH,TH))</f>
        <v>101204400</v>
      </c>
      <c r="F34" s="971">
        <f t="array" ref="F34">SUM(IF("331"&amp;B34=KHC&amp;KH,TH))</f>
        <v>101204400</v>
      </c>
      <c r="G34" s="976">
        <f t="shared" si="10"/>
        <v>0</v>
      </c>
      <c r="H34" s="976">
        <f t="shared" si="11"/>
        <v>0</v>
      </c>
      <c r="I34" s="977" t="str">
        <f t="shared" si="12"/>
        <v>Hai</v>
      </c>
    </row>
    <row r="35" spans="1:9" s="977" customFormat="1" ht="16.5" customHeight="1">
      <c r="A35" s="6">
        <f t="shared" si="8"/>
        <v>32</v>
      </c>
      <c r="B35" s="975" t="s">
        <v>445</v>
      </c>
      <c r="C35" s="971"/>
      <c r="D35" s="971"/>
      <c r="E35" s="971">
        <f t="array" ref="E35">SUM(IF("331"&amp;B35=KHN&amp;KH,TH))</f>
        <v>314428000</v>
      </c>
      <c r="F35" s="971">
        <f t="array" ref="F35">SUM(IF("331"&amp;B35=KHC&amp;KH,TH))</f>
        <v>314428000</v>
      </c>
      <c r="G35" s="976">
        <f t="shared" si="10"/>
        <v>0</v>
      </c>
      <c r="H35" s="976">
        <f t="shared" si="11"/>
        <v>0</v>
      </c>
      <c r="I35" s="977" t="str">
        <f t="shared" si="12"/>
        <v>Hai</v>
      </c>
    </row>
    <row r="36" spans="1:9" s="977" customFormat="1" ht="16.5" customHeight="1">
      <c r="A36" s="6">
        <f t="shared" si="8"/>
        <v>33</v>
      </c>
      <c r="B36" s="975" t="s">
        <v>447</v>
      </c>
      <c r="C36" s="971"/>
      <c r="D36" s="971"/>
      <c r="E36" s="971">
        <f t="array" ref="E36">SUM(IF("331"&amp;B36=KHN&amp;KH,TH))</f>
        <v>102928000</v>
      </c>
      <c r="F36" s="971">
        <f t="array" ref="F36">SUM(IF("331"&amp;B36=KHC&amp;KH,TH))</f>
        <v>102928000</v>
      </c>
      <c r="G36" s="976">
        <f t="shared" si="10"/>
        <v>0</v>
      </c>
      <c r="H36" s="976">
        <f t="shared" si="11"/>
        <v>0</v>
      </c>
      <c r="I36" s="977">
        <f t="shared" si="12"/>
        <v>0</v>
      </c>
    </row>
    <row r="37" spans="1:9" s="977" customFormat="1" ht="16.5" customHeight="1">
      <c r="A37" s="6">
        <f t="shared" si="8"/>
        <v>34</v>
      </c>
      <c r="B37" s="975" t="s">
        <v>365</v>
      </c>
      <c r="C37" s="971"/>
      <c r="D37" s="971"/>
      <c r="E37" s="971">
        <f t="array" ref="E37">SUM(IF("331"&amp;B37=KHN&amp;KH,TH))</f>
        <v>171717000</v>
      </c>
      <c r="F37" s="971">
        <f t="array" ref="F37">SUM(IF("331"&amp;B37=KHC&amp;KH,TH))</f>
        <v>171717000</v>
      </c>
      <c r="G37" s="976">
        <f t="shared" si="10"/>
        <v>0</v>
      </c>
      <c r="H37" s="976">
        <f t="shared" si="11"/>
        <v>0</v>
      </c>
      <c r="I37" s="977" t="str">
        <f t="shared" si="12"/>
        <v>Tiền</v>
      </c>
    </row>
    <row r="38" spans="1:9" s="977" customFormat="1" ht="16.5" customHeight="1">
      <c r="A38" s="6">
        <f t="shared" si="8"/>
        <v>35</v>
      </c>
      <c r="B38" s="975" t="s">
        <v>347</v>
      </c>
      <c r="C38" s="971"/>
      <c r="D38" s="971"/>
      <c r="E38" s="971">
        <f t="array" ref="E38">SUM(IF("331"&amp;B38=KHN&amp;KH,TH))</f>
        <v>104155000</v>
      </c>
      <c r="F38" s="971">
        <f t="array" ref="F38">SUM(IF("331"&amp;B38=KHC&amp;KH,TH))</f>
        <v>104155000</v>
      </c>
      <c r="G38" s="976">
        <f t="shared" si="10"/>
        <v>0</v>
      </c>
      <c r="H38" s="976">
        <f t="shared" si="11"/>
        <v>0</v>
      </c>
      <c r="I38" s="977" t="str">
        <f t="shared" si="12"/>
        <v>Tiền</v>
      </c>
    </row>
    <row r="39" spans="1:9" s="977" customFormat="1" ht="16.5" customHeight="1">
      <c r="A39" s="6">
        <f t="shared" si="8"/>
        <v>36</v>
      </c>
      <c r="B39" s="975" t="s">
        <v>350</v>
      </c>
      <c r="C39" s="971"/>
      <c r="D39" s="971"/>
      <c r="E39" s="971">
        <f t="array" ref="E39">SUM(IF("331"&amp;B39=KHN&amp;KH,TH))</f>
        <v>101380000</v>
      </c>
      <c r="F39" s="971">
        <f t="array" ref="F39">SUM(IF("331"&amp;B39=KHC&amp;KH,TH))</f>
        <v>101380000</v>
      </c>
      <c r="G39" s="976">
        <f t="shared" si="10"/>
        <v>0</v>
      </c>
      <c r="H39" s="976">
        <f t="shared" si="11"/>
        <v>0</v>
      </c>
      <c r="I39" s="977" t="str">
        <f t="shared" si="12"/>
        <v>Tiền</v>
      </c>
    </row>
    <row r="40" spans="1:9" s="977" customFormat="1" ht="16.5" customHeight="1">
      <c r="A40" s="6">
        <f t="shared" si="8"/>
        <v>37</v>
      </c>
      <c r="B40" s="975" t="s">
        <v>362</v>
      </c>
      <c r="C40" s="971"/>
      <c r="D40" s="971"/>
      <c r="E40" s="971">
        <f t="array" ref="E40">SUM(IF("331"&amp;B40=KHN&amp;KH,TH))</f>
        <v>141858000</v>
      </c>
      <c r="F40" s="971">
        <f t="array" ref="F40">SUM(IF("331"&amp;B40=KHC&amp;KH,TH))</f>
        <v>141858000</v>
      </c>
      <c r="G40" s="976">
        <f t="shared" si="10"/>
        <v>0</v>
      </c>
      <c r="H40" s="976">
        <f t="shared" si="11"/>
        <v>0</v>
      </c>
      <c r="I40" s="977" t="str">
        <f t="shared" si="12"/>
        <v>Tiền</v>
      </c>
    </row>
    <row r="41" spans="1:9" s="977" customFormat="1" ht="16.5" customHeight="1">
      <c r="A41" s="6">
        <f t="shared" si="8"/>
        <v>38</v>
      </c>
      <c r="B41" s="975" t="s">
        <v>368</v>
      </c>
      <c r="C41" s="971"/>
      <c r="D41" s="971"/>
      <c r="E41" s="971">
        <f t="array" ref="E41">SUM(IF("331"&amp;B41=KHN&amp;KH,TH))</f>
        <v>72890000</v>
      </c>
      <c r="F41" s="971">
        <f t="array" ref="F41">SUM(IF("331"&amp;B41=KHC&amp;KH,TH))</f>
        <v>72890000</v>
      </c>
      <c r="G41" s="976">
        <f t="shared" si="10"/>
        <v>0</v>
      </c>
      <c r="H41" s="976">
        <f t="shared" si="11"/>
        <v>0</v>
      </c>
      <c r="I41" s="977" t="str">
        <f t="shared" si="12"/>
        <v>Tiền</v>
      </c>
    </row>
    <row r="42" spans="1:9" s="977" customFormat="1" ht="16.5" customHeight="1">
      <c r="A42" s="6" t="str">
        <f t="shared" si="8"/>
        <v/>
      </c>
      <c r="B42" s="975"/>
      <c r="C42" s="971"/>
      <c r="D42" s="971"/>
      <c r="E42" s="971">
        <f t="array" ref="E42">SUM(IF("331"&amp;B42=KHN&amp;KH,TH))</f>
        <v>0</v>
      </c>
      <c r="F42" s="971">
        <f t="array" ref="F42">SUM(IF("331"&amp;B42=KHC&amp;KH,TH))</f>
        <v>0</v>
      </c>
      <c r="G42" s="976">
        <f t="shared" si="10"/>
        <v>0</v>
      </c>
      <c r="H42" s="976">
        <f t="shared" si="11"/>
        <v>0</v>
      </c>
      <c r="I42" s="977" t="str">
        <f t="shared" si="12"/>
        <v/>
      </c>
    </row>
    <row r="43" spans="1:9" s="977" customFormat="1" ht="16.5" customHeight="1">
      <c r="A43" s="6" t="str">
        <f t="shared" si="8"/>
        <v/>
      </c>
      <c r="B43" s="975"/>
      <c r="C43" s="971"/>
      <c r="D43" s="971"/>
      <c r="E43" s="971">
        <f t="array" ref="E43">SUM(IF("331"&amp;B43=KHN&amp;KH,TH))</f>
        <v>0</v>
      </c>
      <c r="F43" s="971">
        <f t="array" ref="F43">SUM(IF("331"&amp;B43=KHC&amp;KH,TH))</f>
        <v>0</v>
      </c>
      <c r="G43" s="976">
        <f t="shared" si="10"/>
        <v>0</v>
      </c>
      <c r="H43" s="976">
        <f t="shared" si="11"/>
        <v>0</v>
      </c>
      <c r="I43" s="977" t="str">
        <f t="shared" si="12"/>
        <v/>
      </c>
    </row>
    <row r="44" spans="1:9" s="977" customFormat="1" ht="16.5" customHeight="1">
      <c r="A44" s="6" t="str">
        <f t="shared" si="8"/>
        <v/>
      </c>
      <c r="B44" s="975"/>
      <c r="C44" s="971"/>
      <c r="D44" s="971"/>
      <c r="E44" s="971">
        <f t="array" ref="E44">SUM(IF("331"&amp;B44=KHN&amp;KH,TH))</f>
        <v>0</v>
      </c>
      <c r="F44" s="971">
        <f t="array" ref="F44">SUM(IF("331"&amp;B44=KHC&amp;KH,TH))</f>
        <v>0</v>
      </c>
      <c r="G44" s="976">
        <f t="shared" si="10"/>
        <v>0</v>
      </c>
      <c r="H44" s="976">
        <f t="shared" si="11"/>
        <v>0</v>
      </c>
      <c r="I44" s="977" t="str">
        <f t="shared" si="12"/>
        <v/>
      </c>
    </row>
    <row r="45" spans="1:9" s="977" customFormat="1" ht="16.5" customHeight="1">
      <c r="A45" s="6" t="str">
        <f t="shared" si="8"/>
        <v/>
      </c>
      <c r="B45" s="975"/>
      <c r="C45" s="971"/>
      <c r="D45" s="971"/>
      <c r="E45" s="971">
        <f t="array" ref="E45">SUM(IF("331"&amp;B45=KHN&amp;KH,TH))</f>
        <v>0</v>
      </c>
      <c r="F45" s="971">
        <f t="array" ref="F45">SUM(IF("331"&amp;B45=KHC&amp;KH,TH))</f>
        <v>0</v>
      </c>
      <c r="G45" s="976">
        <f t="shared" si="10"/>
        <v>0</v>
      </c>
      <c r="H45" s="976">
        <f t="shared" si="11"/>
        <v>0</v>
      </c>
      <c r="I45" s="977" t="str">
        <f t="shared" si="12"/>
        <v/>
      </c>
    </row>
    <row r="46" spans="1:9" s="977" customFormat="1" ht="16.5" customHeight="1">
      <c r="A46" s="6" t="str">
        <f t="shared" si="8"/>
        <v/>
      </c>
      <c r="B46" s="975"/>
      <c r="C46" s="971"/>
      <c r="D46" s="971"/>
      <c r="E46" s="971">
        <f t="array" ref="E46">SUM(IF("331"&amp;B46=KHN&amp;KH,TH))</f>
        <v>0</v>
      </c>
      <c r="F46" s="971">
        <f t="array" ref="F46">SUM(IF("331"&amp;B46=KHC&amp;KH,TH))</f>
        <v>0</v>
      </c>
      <c r="G46" s="976">
        <f t="shared" si="10"/>
        <v>0</v>
      </c>
      <c r="H46" s="976">
        <f t="shared" si="11"/>
        <v>0</v>
      </c>
      <c r="I46" s="977" t="str">
        <f t="shared" si="12"/>
        <v/>
      </c>
    </row>
    <row r="47" spans="1:9" s="977" customFormat="1" ht="16.5" customHeight="1">
      <c r="A47" s="6" t="str">
        <f t="shared" si="8"/>
        <v/>
      </c>
      <c r="B47" s="975"/>
      <c r="C47" s="971"/>
      <c r="D47" s="971"/>
      <c r="E47" s="971">
        <f t="array" ref="E47">SUM(IF("331"&amp;B47=KHN&amp;KH,TH))</f>
        <v>0</v>
      </c>
      <c r="F47" s="971">
        <f t="array" ref="F47">SUM(IF("331"&amp;B47=KHC&amp;KH,TH))</f>
        <v>0</v>
      </c>
      <c r="G47" s="976">
        <f t="shared" si="10"/>
        <v>0</v>
      </c>
      <c r="H47" s="976">
        <f t="shared" si="11"/>
        <v>0</v>
      </c>
      <c r="I47" s="977" t="str">
        <f t="shared" si="12"/>
        <v/>
      </c>
    </row>
    <row r="48" spans="1:9" s="977" customFormat="1" ht="16.5" customHeight="1">
      <c r="A48" s="6" t="str">
        <f t="shared" si="8"/>
        <v/>
      </c>
      <c r="B48" s="975"/>
      <c r="C48" s="971"/>
      <c r="D48" s="971"/>
      <c r="E48" s="971">
        <f t="array" ref="E48">SUM(IF("331"&amp;B48=KHN&amp;KH,TH))</f>
        <v>0</v>
      </c>
      <c r="F48" s="971">
        <f t="array" ref="F48">SUM(IF("331"&amp;B48=KHC&amp;KH,TH))</f>
        <v>0</v>
      </c>
      <c r="G48" s="976">
        <f t="shared" si="10"/>
        <v>0</v>
      </c>
      <c r="H48" s="976">
        <f t="shared" si="11"/>
        <v>0</v>
      </c>
      <c r="I48" s="977" t="str">
        <f t="shared" si="12"/>
        <v/>
      </c>
    </row>
    <row r="49" spans="1:9" s="977" customFormat="1" ht="16.5" customHeight="1">
      <c r="A49" s="6" t="str">
        <f t="shared" si="8"/>
        <v/>
      </c>
      <c r="B49" s="975"/>
      <c r="C49" s="971"/>
      <c r="D49" s="971"/>
      <c r="E49" s="971">
        <f t="array" ref="E49">SUM(IF("331"&amp;B49=KHN&amp;KH,TH))</f>
        <v>0</v>
      </c>
      <c r="F49" s="971">
        <f t="array" ref="F49">SUM(IF("331"&amp;B49=KHC&amp;KH,TH))</f>
        <v>0</v>
      </c>
      <c r="G49" s="976">
        <f t="shared" si="10"/>
        <v>0</v>
      </c>
      <c r="H49" s="976">
        <f t="shared" si="11"/>
        <v>0</v>
      </c>
      <c r="I49" s="977" t="str">
        <f t="shared" si="12"/>
        <v/>
      </c>
    </row>
    <row r="50" spans="1:9" s="977" customFormat="1" ht="16.5" customHeight="1">
      <c r="A50" s="6" t="str">
        <f t="shared" si="8"/>
        <v/>
      </c>
      <c r="B50" s="975"/>
      <c r="C50" s="971"/>
      <c r="D50" s="971"/>
      <c r="E50" s="971">
        <f t="array" ref="E50">SUM(IF("331"&amp;B50=KHN&amp;KH,TH))</f>
        <v>0</v>
      </c>
      <c r="F50" s="971">
        <f t="array" ref="F50">SUM(IF("331"&amp;B50=KHC&amp;KH,TH))</f>
        <v>0</v>
      </c>
      <c r="G50" s="976">
        <f t="shared" si="10"/>
        <v>0</v>
      </c>
      <c r="H50" s="976">
        <f t="shared" si="11"/>
        <v>0</v>
      </c>
      <c r="I50" s="977" t="str">
        <f t="shared" si="12"/>
        <v/>
      </c>
    </row>
    <row r="51" spans="1:9" s="977" customFormat="1" ht="16.5" customHeight="1">
      <c r="A51" s="6" t="str">
        <f t="shared" si="8"/>
        <v/>
      </c>
      <c r="B51" s="975"/>
      <c r="C51" s="971"/>
      <c r="D51" s="971"/>
      <c r="E51" s="971">
        <f t="array" ref="E51">SUM(IF("331"&amp;B51=KHN&amp;KH,TH))</f>
        <v>0</v>
      </c>
      <c r="F51" s="971">
        <f t="array" ref="F51">SUM(IF("331"&amp;B51=KHC&amp;KH,TH))</f>
        <v>0</v>
      </c>
      <c r="G51" s="976">
        <f t="shared" si="10"/>
        <v>0</v>
      </c>
      <c r="H51" s="976">
        <f t="shared" si="11"/>
        <v>0</v>
      </c>
      <c r="I51" s="977" t="str">
        <f t="shared" si="12"/>
        <v/>
      </c>
    </row>
    <row r="52" spans="1:9" s="10" customFormat="1" ht="16.5" customHeight="1">
      <c r="A52" s="6" t="str">
        <f t="shared" si="8"/>
        <v/>
      </c>
      <c r="B52" s="74"/>
      <c r="C52" s="8"/>
      <c r="D52" s="8"/>
      <c r="E52" s="971"/>
      <c r="F52" s="971"/>
      <c r="G52" s="976"/>
      <c r="H52" s="976"/>
      <c r="I52" s="977" t="str">
        <f t="shared" si="12"/>
        <v/>
      </c>
    </row>
    <row r="53" spans="1:9" s="14" customFormat="1" ht="14.25" customHeight="1">
      <c r="A53" s="11"/>
      <c r="B53" s="12" t="s">
        <v>41</v>
      </c>
      <c r="C53" s="13">
        <f t="shared" ref="C53:H53" si="13">SUM(C4:C52)</f>
        <v>60000000</v>
      </c>
      <c r="D53" s="13">
        <f t="shared" si="13"/>
        <v>536953252</v>
      </c>
      <c r="E53" s="13">
        <f t="shared" si="13"/>
        <v>4708078120</v>
      </c>
      <c r="F53" s="13">
        <f t="shared" si="13"/>
        <v>5089274153</v>
      </c>
      <c r="G53" s="13">
        <f t="shared" si="13"/>
        <v>0</v>
      </c>
      <c r="H53" s="13">
        <f t="shared" si="13"/>
        <v>858149285</v>
      </c>
    </row>
    <row r="55" spans="1:9">
      <c r="E55" s="15">
        <f>CDPS!E38</f>
        <v>4708078120</v>
      </c>
      <c r="F55" s="15">
        <f>CDPS!F38</f>
        <v>5023722224</v>
      </c>
    </row>
    <row r="57" spans="1:9">
      <c r="E57" s="239">
        <f>E53-E55</f>
        <v>0</v>
      </c>
      <c r="F57" s="239">
        <f>F53-F55</f>
        <v>65551929</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1" t="s">
        <v>49</v>
      </c>
      <c r="I1" s="1291"/>
      <c r="J1" s="1291"/>
    </row>
    <row r="2" spans="1:10" s="3" customFormat="1" ht="14.25" customHeight="1">
      <c r="A2" s="1" t="s">
        <v>15</v>
      </c>
      <c r="B2" s="16"/>
      <c r="C2" s="16"/>
      <c r="G2" s="17"/>
      <c r="H2" s="1292" t="s">
        <v>50</v>
      </c>
      <c r="I2" s="1292"/>
      <c r="J2" s="1292"/>
    </row>
    <row r="3" spans="1:10" s="3" customFormat="1" ht="14.25" customHeight="1">
      <c r="A3" s="4"/>
      <c r="B3" s="16"/>
      <c r="C3" s="16"/>
      <c r="G3" s="17"/>
      <c r="H3" s="1292"/>
      <c r="I3" s="1292"/>
      <c r="J3" s="1292"/>
    </row>
    <row r="4" spans="1:10" s="5" customFormat="1" ht="28.5" customHeight="1">
      <c r="A4" s="1298" t="s">
        <v>28</v>
      </c>
      <c r="B4" s="1298"/>
      <c r="C4" s="1298"/>
      <c r="D4" s="1298"/>
      <c r="E4" s="1298"/>
      <c r="F4" s="1298"/>
      <c r="G4" s="1298"/>
      <c r="H4" s="1298"/>
      <c r="I4" s="1298"/>
      <c r="J4" s="1298"/>
    </row>
    <row r="5" spans="1:10" s="18" customFormat="1" ht="14.25" customHeight="1">
      <c r="E5" s="19" t="s">
        <v>29</v>
      </c>
    </row>
    <row r="6" spans="1:10" s="18" customFormat="1" ht="14.25" customHeight="1">
      <c r="E6" s="19" t="s">
        <v>30</v>
      </c>
    </row>
    <row r="7" spans="1:10" s="18" customFormat="1" ht="14.25" customHeight="1">
      <c r="D7" s="20" t="s">
        <v>48</v>
      </c>
      <c r="E7" s="1293" t="s">
        <v>1523</v>
      </c>
      <c r="F7" s="1293"/>
      <c r="G7" s="1293"/>
      <c r="H7" s="1293"/>
    </row>
    <row r="8" spans="1:10" s="18" customFormat="1" ht="14.25" customHeight="1">
      <c r="E8" s="19" t="s">
        <v>31</v>
      </c>
    </row>
    <row r="9" spans="1:10" s="18" customFormat="1" ht="6.75" customHeight="1">
      <c r="B9" s="19"/>
      <c r="C9" s="1294"/>
      <c r="D9" s="1294"/>
      <c r="E9" s="1294"/>
      <c r="F9" s="1294"/>
      <c r="G9" s="1294"/>
      <c r="H9" s="1294"/>
      <c r="I9" s="1294"/>
      <c r="J9" s="1294"/>
    </row>
    <row r="10" spans="1:10" s="18" customFormat="1" ht="14.25" customHeight="1">
      <c r="A10" s="1244" t="s">
        <v>22</v>
      </c>
      <c r="B10" s="1295" t="s">
        <v>1</v>
      </c>
      <c r="C10" s="1295"/>
      <c r="D10" s="1244" t="s">
        <v>0</v>
      </c>
      <c r="E10" s="1244" t="s">
        <v>16</v>
      </c>
      <c r="F10" s="1244" t="s">
        <v>32</v>
      </c>
      <c r="G10" s="1296" t="s">
        <v>23</v>
      </c>
      <c r="H10" s="1297"/>
      <c r="I10" s="1296" t="s">
        <v>33</v>
      </c>
      <c r="J10" s="1297"/>
    </row>
    <row r="11" spans="1:10" s="18" customFormat="1" ht="24.75" customHeight="1">
      <c r="A11" s="1244"/>
      <c r="B11" s="30" t="s">
        <v>17</v>
      </c>
      <c r="C11" s="30" t="s">
        <v>34</v>
      </c>
      <c r="D11" s="1244"/>
      <c r="E11" s="1244"/>
      <c r="F11" s="1244"/>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VLOOKUP($E$7,'331'!$B$4:$H$52,2,0)</f>
        <v>0</v>
      </c>
      <c r="J13" s="80">
        <f>VLOOKUP($E$7,'331'!$B$4:$H$52,3,0)</f>
        <v>0</v>
      </c>
    </row>
    <row r="14" spans="1:10" s="18" customFormat="1" ht="18" customHeight="1">
      <c r="A14" s="9">
        <f ca="1">IF(ROWS($1:1)&gt;COUNT(Dong),"",OFFSET(TH!C$1,SMALL(Dong,ROWS($1:1)),))</f>
        <v>42503</v>
      </c>
      <c r="B14" s="9" t="str">
        <f ca="1">IF(ROWS($1:1)&gt;COUNT(Dong),"",OFFSET(TH!D$1,SMALL(Dong,ROWS($1:1)),))</f>
        <v>CTGS</v>
      </c>
      <c r="C14" s="9">
        <f ca="1">IF(ROWS($1:1)&gt;COUNT(Dong),"",OFFSET(TH!E$1,SMALL(Dong,ROWS($1:1)),))</f>
        <v>42503</v>
      </c>
      <c r="D14" s="378" t="str">
        <f ca="1">IF(ROWS($1:1)&gt;COUNT(Dong),"",OFFSET(TH!F$1,SMALL(Dong,ROWS($1:1)),))</f>
        <v>Cước vận tải quốc tế</v>
      </c>
      <c r="E14" s="79" t="str">
        <f ca="1">IF(ROWS($1:1)&gt;COUNT(Dong),"",IF(OFFSET(TH!N$1,SMALL(Dong,ROWS($1:1)),)="331",OFFSET(TH!O$1,SMALL(Dong,ROWS($1:1)),),OFFSET(TH!N$1,SMALL(Dong,ROWS($1:1)),)))</f>
        <v>641</v>
      </c>
      <c r="F14" s="79"/>
      <c r="G14" s="99">
        <f ca="1">IF(ROWS($1:1)&gt;COUNT(Dong),"",IF(OFFSET(TH!N$1,SMALL(Dong,ROWS($1:1)),)="331",OFFSET(TH!M$1,SMALL(Dong,ROWS($1:1)),),0))</f>
        <v>0</v>
      </c>
      <c r="H14" s="99">
        <f ca="1">IF(ROWS($1:1)&gt;COUNT(Dong),"",IF(OFFSET(TH!O$1,SMALL(Dong,ROWS($1:1)),)="331",OFFSET(TH!M$1,SMALL(Dong,ROWS($1:1)),),0))</f>
        <v>18972000</v>
      </c>
      <c r="I14" s="25">
        <f ca="1">IF(D14&lt;&gt;"",MAX(I13+G14-H14-J13,0),0)</f>
        <v>0</v>
      </c>
      <c r="J14" s="25">
        <f ca="1">IF(D14&lt;&gt;"",MAX(J13+H14-I13-G14,0),0)</f>
        <v>18972000</v>
      </c>
    </row>
    <row r="15" spans="1:10" s="18" customFormat="1" ht="18" customHeight="1">
      <c r="A15" s="9">
        <f ca="1">IF(ROWS($1:2)&gt;COUNT(Dong),"",OFFSET(TH!C$1,SMALL(Dong,ROWS($1:2)),))</f>
        <v>42503</v>
      </c>
      <c r="B15" s="9" t="str">
        <f ca="1">IF(ROWS($1:2)&gt;COUNT(Dong),"",OFFSET(TH!D$1,SMALL(Dong,ROWS($1:2)),))</f>
        <v>CTGS</v>
      </c>
      <c r="C15" s="9">
        <f ca="1">IF(ROWS($1:2)&gt;COUNT(Dong),"",OFFSET(TH!E$1,SMALL(Dong,ROWS($1:2)),))</f>
        <v>42503</v>
      </c>
      <c r="D15" s="378" t="str">
        <f ca="1">IF(ROWS($1:2)&gt;COUNT(Dong),"",OFFSET(TH!F$1,SMALL(Dong,ROWS($1:2)),))</f>
        <v>Phí niêm chì, vận đơn, nâng hạ, khai hải quan, xếp dỡ</v>
      </c>
      <c r="E15" s="79" t="str">
        <f ca="1">IF(ROWS($1:2)&gt;COUNT(Dong),"",IF(OFFSET(TH!N$1,SMALL(Dong,ROWS($1:2)),)="331",OFFSET(TH!O$1,SMALL(Dong,ROWS($1:2)),),OFFSET(TH!N$1,SMALL(Dong,ROWS($1:2)),)))</f>
        <v>641</v>
      </c>
      <c r="F15" s="79"/>
      <c r="G15" s="99">
        <f ca="1">IF(ROWS($1:2)&gt;COUNT(Dong),"",IF(OFFSET(TH!N$1,SMALL(Dong,ROWS($1:2)),)="331",OFFSET(TH!M$1,SMALL(Dong,ROWS($1:2)),),0))</f>
        <v>0</v>
      </c>
      <c r="H15" s="99">
        <f ca="1">IF(ROWS($1:2)&gt;COUNT(Dong),"",IF(OFFSET(TH!O$1,SMALL(Dong,ROWS($1:2)),)="331",OFFSET(TH!M$1,SMALL(Dong,ROWS($1:2)),),0))</f>
        <v>8503920</v>
      </c>
      <c r="I15" s="25">
        <f t="shared" ref="I15:I20" ca="1" si="0">IF(D15&lt;&gt;"",MAX(I14+G15-H15-J14,0),0)</f>
        <v>0</v>
      </c>
      <c r="J15" s="25">
        <f t="shared" ref="J15:J20" ca="1" si="1">IF(D15&lt;&gt;"",MAX(J14+H15-I14-G15,0),0)</f>
        <v>27475920</v>
      </c>
    </row>
    <row r="16" spans="1:10" s="18" customFormat="1" ht="18" customHeight="1">
      <c r="A16" s="9">
        <f ca="1">IF(ROWS($1:3)&gt;COUNT(Dong),"",OFFSET(TH!C$1,SMALL(Dong,ROWS($1:3)),))</f>
        <v>42503</v>
      </c>
      <c r="B16" s="9" t="str">
        <f ca="1">IF(ROWS($1:3)&gt;COUNT(Dong),"",OFFSET(TH!D$1,SMALL(Dong,ROWS($1:3)),))</f>
        <v>CTGS</v>
      </c>
      <c r="C16" s="9">
        <f ca="1">IF(ROWS($1:3)&gt;COUNT(Dong),"",OFFSET(TH!E$1,SMALL(Dong,ROWS($1:3)),))</f>
        <v>42503</v>
      </c>
      <c r="D16" s="378" t="str">
        <f ca="1">IF(ROWS($1:3)&gt;COUNT(Dong),"",OFFSET(TH!F$1,SMALL(Dong,ROWS($1:3)),))</f>
        <v>VAT Phí niêm chì, vận đơn, nâng hạ, khai hải quan, xếp dỡ</v>
      </c>
      <c r="E16" s="79" t="str">
        <f ca="1">IF(ROWS($1:3)&gt;COUNT(Dong),"",IF(OFFSET(TH!N$1,SMALL(Dong,ROWS($1:3)),)="331",OFFSET(TH!O$1,SMALL(Dong,ROWS($1:3)),),OFFSET(TH!N$1,SMALL(Dong,ROWS($1:3)),)))</f>
        <v>1331</v>
      </c>
      <c r="F16" s="79"/>
      <c r="G16" s="99">
        <f ca="1">IF(ROWS($1:3)&gt;COUNT(Dong),"",IF(OFFSET(TH!N$1,SMALL(Dong,ROWS($1:3)),)="331",OFFSET(TH!M$1,SMALL(Dong,ROWS($1:3)),),0))</f>
        <v>0</v>
      </c>
      <c r="H16" s="99">
        <f ca="1">IF(ROWS($1:3)&gt;COUNT(Dong),"",IF(OFFSET(TH!O$1,SMALL(Dong,ROWS($1:3)),)="331",OFFSET(TH!M$1,SMALL(Dong,ROWS($1:3)),),0))</f>
        <v>850392</v>
      </c>
      <c r="I16" s="25">
        <f t="shared" ca="1" si="0"/>
        <v>0</v>
      </c>
      <c r="J16" s="25">
        <f t="shared" ca="1" si="1"/>
        <v>28326312</v>
      </c>
    </row>
    <row r="17" spans="1:10" s="18" customFormat="1" ht="18" customHeight="1">
      <c r="A17" s="9">
        <f ca="1">IF(ROWS($1:4)&gt;COUNT(Dong),"",OFFSET(TH!C$1,SMALL(Dong,ROWS($1:4)),))</f>
        <v>42504</v>
      </c>
      <c r="B17" s="9" t="str">
        <f ca="1">IF(ROWS($1:4)&gt;COUNT(Dong),"",OFFSET(TH!D$1,SMALL(Dong,ROWS($1:4)),))</f>
        <v>CTGS</v>
      </c>
      <c r="C17" s="9">
        <f ca="1">IF(ROWS($1:4)&gt;COUNT(Dong),"",OFFSET(TH!E$1,SMALL(Dong,ROWS($1:4)),))</f>
        <v>42504</v>
      </c>
      <c r="D17" s="378" t="str">
        <f ca="1">IF(ROWS($1:4)&gt;COUNT(Dong),"",OFFSET(TH!F$1,SMALL(Dong,ROWS($1:4)),))</f>
        <v>Cước vận tải quốc tế</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9382800</v>
      </c>
      <c r="I17" s="25">
        <f t="shared" ca="1" si="0"/>
        <v>0</v>
      </c>
      <c r="J17" s="25">
        <f t="shared" ca="1" si="1"/>
        <v>37709112</v>
      </c>
    </row>
    <row r="18" spans="1:10" s="18" customFormat="1" ht="18" customHeight="1">
      <c r="A18" s="9">
        <f ca="1">IF(ROWS($1:5)&gt;COUNT(Dong),"",OFFSET(TH!C$1,SMALL(Dong,ROWS($1:5)),))</f>
        <v>42504</v>
      </c>
      <c r="B18" s="9" t="str">
        <f ca="1">IF(ROWS($1:5)&gt;COUNT(Dong),"",OFFSET(TH!D$1,SMALL(Dong,ROWS($1:5)),))</f>
        <v>CTGS</v>
      </c>
      <c r="C18" s="9">
        <f ca="1">IF(ROWS($1:5)&gt;COUNT(Dong),"",OFFSET(TH!E$1,SMALL(Dong,ROWS($1:5)),))</f>
        <v>42504</v>
      </c>
      <c r="D18" s="378" t="str">
        <f ca="1">IF(ROWS($1:5)&gt;COUNT(Dong),"",OFFSET(TH!F$1,SMALL(Dong,ROWS($1:5)),))</f>
        <v>Phí niêm chì, xếp dỡ, vận chuyển, vận đơn</v>
      </c>
      <c r="E18" s="79" t="str">
        <f ca="1">IF(ROWS($1:5)&gt;COUNT(Dong),"",IF(OFFSET(TH!N$1,SMALL(Dong,ROWS($1:5)),)="331",OFFSET(TH!O$1,SMALL(Dong,ROWS($1:5)),),OFFSET(TH!N$1,SMALL(Dong,ROWS($1:5)),)))</f>
        <v>641</v>
      </c>
      <c r="F18" s="79"/>
      <c r="G18" s="99">
        <f ca="1">IF(ROWS($1:5)&gt;COUNT(Dong),"",IF(OFFSET(TH!N$1,SMALL(Dong,ROWS($1:5)),)="331",OFFSET(TH!M$1,SMALL(Dong,ROWS($1:5)),),0))</f>
        <v>0</v>
      </c>
      <c r="H18" s="99">
        <f ca="1">IF(ROWS($1:5)&gt;COUNT(Dong),"",IF(OFFSET(TH!O$1,SMALL(Dong,ROWS($1:5)),)="331",OFFSET(TH!M$1,SMALL(Dong,ROWS($1:5)),),0))</f>
        <v>7841340</v>
      </c>
      <c r="I18" s="25">
        <f t="shared" ca="1" si="0"/>
        <v>0</v>
      </c>
      <c r="J18" s="25">
        <f t="shared" ca="1" si="1"/>
        <v>45550452</v>
      </c>
    </row>
    <row r="19" spans="1:10" s="18" customFormat="1" ht="18" customHeight="1">
      <c r="A19" s="9">
        <f ca="1">IF(ROWS($1:6)&gt;COUNT(Dong),"",OFFSET(TH!C$1,SMALL(Dong,ROWS($1:6)),))</f>
        <v>42504</v>
      </c>
      <c r="B19" s="9" t="str">
        <f ca="1">IF(ROWS($1:6)&gt;COUNT(Dong),"",OFFSET(TH!D$1,SMALL(Dong,ROWS($1:6)),))</f>
        <v>CTGS</v>
      </c>
      <c r="C19" s="9">
        <f ca="1">IF(ROWS($1:6)&gt;COUNT(Dong),"",OFFSET(TH!E$1,SMALL(Dong,ROWS($1:6)),))</f>
        <v>42504</v>
      </c>
      <c r="D19" s="378" t="str">
        <f ca="1">IF(ROWS($1:6)&gt;COUNT(Dong),"",OFFSET(TH!F$1,SMALL(Dong,ROWS($1:6)),))</f>
        <v>VAT Phí niêm chì, xếp dỡ, vận chuyển, vận đơn</v>
      </c>
      <c r="E19" s="79" t="str">
        <f ca="1">IF(ROWS($1:6)&gt;COUNT(Dong),"",IF(OFFSET(TH!N$1,SMALL(Dong,ROWS($1:6)),)="331",OFFSET(TH!O$1,SMALL(Dong,ROWS($1:6)),),OFFSET(TH!N$1,SMALL(Dong,ROWS($1:6)),)))</f>
        <v>1331</v>
      </c>
      <c r="F19" s="79"/>
      <c r="G19" s="99">
        <f ca="1">IF(ROWS($1:6)&gt;COUNT(Dong),"",IF(OFFSET(TH!N$1,SMALL(Dong,ROWS($1:6)),)="331",OFFSET(TH!M$1,SMALL(Dong,ROWS($1:6)),),0))</f>
        <v>0</v>
      </c>
      <c r="H19" s="99">
        <f ca="1">IF(ROWS($1:6)&gt;COUNT(Dong),"",IF(OFFSET(TH!O$1,SMALL(Dong,ROWS($1:6)),)="331",OFFSET(TH!M$1,SMALL(Dong,ROWS($1:6)),),0))</f>
        <v>784134</v>
      </c>
      <c r="I19" s="25">
        <f t="shared" ca="1" si="0"/>
        <v>0</v>
      </c>
      <c r="J19" s="25">
        <f t="shared" ca="1" si="1"/>
        <v>46334586</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378" t="str">
        <f ca="1">IF(ROWS($1:7)&gt;COUNT(Dong),"",OFFSET(TH!F$1,SMALL(Dong,ROWS($1:7)),))</f>
        <v/>
      </c>
      <c r="E20" s="79" t="str">
        <f ca="1">IF(ROWS($1:7)&gt;COUNT(Dong),"",IF(OFFSET(TH!N$1,SMALL(Dong,ROWS($1:7)),)="331",OFFSET(TH!O$1,SMALL(Dong,ROWS($1:7)),),OFFSET(TH!N$1,SMALL(Dong,ROWS($1:7)),)))</f>
        <v/>
      </c>
      <c r="F20" s="79"/>
      <c r="G20" s="99" t="str">
        <f ca="1">IF(ROWS($1:7)&gt;COUNT(Dong),"",IF(OFFSET(TH!N$1,SMALL(Dong,ROWS($1:7)),)="331",OFFSET(TH!M$1,SMALL(Dong,ROWS($1:7)),),0))</f>
        <v/>
      </c>
      <c r="H20" s="99"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378" t="str">
        <f ca="1">IF(ROWS($1:8)&gt;COUNT(Dong),"",OFFSET(TH!F$1,SMALL(Dong,ROWS($1:8)),))</f>
        <v/>
      </c>
      <c r="E21" s="79" t="str">
        <f ca="1">IF(ROWS($1:8)&gt;COUNT(Dong),"",IF(OFFSET(TH!N$1,SMALL(Dong,ROWS($1:8)),)="331",OFFSET(TH!O$1,SMALL(Dong,ROWS($1:8)),),OFFSET(TH!N$1,SMALL(Dong,ROWS($1:8)),)))</f>
        <v/>
      </c>
      <c r="F21" s="79"/>
      <c r="G21" s="99" t="str">
        <f ca="1">IF(ROWS($1:8)&gt;COUNT(Dong),"",IF(OFFSET(TH!N$1,SMALL(Dong,ROWS($1:8)),)="331",OFFSET(TH!M$1,SMALL(Dong,ROWS($1:8)),),0))</f>
        <v/>
      </c>
      <c r="H21" s="99"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378" t="str">
        <f ca="1">IF(ROWS($1:9)&gt;COUNT(Dong),"",OFFSET(TH!F$1,SMALL(Dong,ROWS($1:9)),))</f>
        <v/>
      </c>
      <c r="E22" s="79" t="str">
        <f ca="1">IF(ROWS($1:9)&gt;COUNT(Dong),"",IF(OFFSET(TH!N$1,SMALL(Dong,ROWS($1:9)),)="331",OFFSET(TH!O$1,SMALL(Dong,ROWS($1:9)),),OFFSET(TH!N$1,SMALL(Dong,ROWS($1:9)),)))</f>
        <v/>
      </c>
      <c r="F22" s="79"/>
      <c r="G22" s="99" t="str">
        <f ca="1">IF(ROWS($1:9)&gt;COUNT(Dong),"",IF(OFFSET(TH!N$1,SMALL(Dong,ROWS($1:9)),)="331",OFFSET(TH!M$1,SMALL(Dong,ROWS($1:9)),),0))</f>
        <v/>
      </c>
      <c r="H22" s="99"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378" t="str">
        <f ca="1">IF(ROWS($1:10)&gt;COUNT(Dong),"",OFFSET(TH!F$1,SMALL(Dong,ROWS($1:10)),))</f>
        <v/>
      </c>
      <c r="E23" s="79" t="str">
        <f ca="1">IF(ROWS($1:10)&gt;COUNT(Dong),"",IF(OFFSET(TH!N$1,SMALL(Dong,ROWS($1:10)),)="331",OFFSET(TH!O$1,SMALL(Dong,ROWS($1:10)),),OFFSET(TH!N$1,SMALL(Dong,ROWS($1:10)),)))</f>
        <v/>
      </c>
      <c r="F23" s="79"/>
      <c r="G23" s="99" t="str">
        <f ca="1">IF(ROWS($1:10)&gt;COUNT(Dong),"",IF(OFFSET(TH!N$1,SMALL(Dong,ROWS($1:10)),)="331",OFFSET(TH!M$1,SMALL(Dong,ROWS($1:10)),),0))</f>
        <v/>
      </c>
      <c r="H23" s="99"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378" t="str">
        <f ca="1">IF(ROWS($1:11)&gt;COUNT(Dong),"",OFFSET(TH!F$1,SMALL(Dong,ROWS($1:11)),))</f>
        <v/>
      </c>
      <c r="E24" s="79" t="str">
        <f ca="1">IF(ROWS($1:11)&gt;COUNT(Dong),"",IF(OFFSET(TH!N$1,SMALL(Dong,ROWS($1:11)),)="331",OFFSET(TH!O$1,SMALL(Dong,ROWS($1:11)),),OFFSET(TH!N$1,SMALL(Dong,ROWS($1:11)),)))</f>
        <v/>
      </c>
      <c r="F24" s="79"/>
      <c r="G24" s="99" t="str">
        <f ca="1">IF(ROWS($1:11)&gt;COUNT(Dong),"",IF(OFFSET(TH!N$1,SMALL(Dong,ROWS($1:11)),)="331",OFFSET(TH!M$1,SMALL(Dong,ROWS($1:11)),),0))</f>
        <v/>
      </c>
      <c r="H24" s="99"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378" t="str">
        <f ca="1">IF(ROWS($1:12)&gt;COUNT(Dong),"",OFFSET(TH!F$1,SMALL(Dong,ROWS($1:12)),))</f>
        <v/>
      </c>
      <c r="E25" s="79" t="str">
        <f ca="1">IF(ROWS($1:12)&gt;COUNT(Dong),"",IF(OFFSET(TH!N$1,SMALL(Dong,ROWS($1:12)),)="331",OFFSET(TH!O$1,SMALL(Dong,ROWS($1:12)),),OFFSET(TH!N$1,SMALL(Dong,ROWS($1:12)),)))</f>
        <v/>
      </c>
      <c r="F25" s="79"/>
      <c r="G25" s="99" t="str">
        <f ca="1">IF(ROWS($1:12)&gt;COUNT(Dong),"",IF(OFFSET(TH!N$1,SMALL(Dong,ROWS($1:12)),)="331",OFFSET(TH!M$1,SMALL(Dong,ROWS($1:12)),),0))</f>
        <v/>
      </c>
      <c r="H25" s="99"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78"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78"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78"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78"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78"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0</v>
      </c>
      <c r="H40" s="27">
        <f ca="1">SUM(H14:H30)</f>
        <v>46334586</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46334586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2" t="s">
        <v>176</v>
      </c>
      <c r="F45" s="1232"/>
      <c r="G45" s="1232"/>
      <c r="H45" s="1232"/>
      <c r="I45" s="1232"/>
      <c r="J45" s="1232"/>
    </row>
    <row r="46" spans="1:11" s="18" customFormat="1" ht="14.25" customHeight="1">
      <c r="C46" s="362" t="s">
        <v>11</v>
      </c>
      <c r="E46" s="1232" t="s">
        <v>12</v>
      </c>
      <c r="F46" s="1232"/>
      <c r="G46" s="1232"/>
      <c r="H46" s="1232"/>
      <c r="I46" s="1232"/>
      <c r="J46" s="1232"/>
    </row>
    <row r="47" spans="1:11" s="18" customFormat="1" ht="14.25" customHeight="1">
      <c r="C47" s="362" t="s">
        <v>13</v>
      </c>
      <c r="E47" s="1232" t="s">
        <v>13</v>
      </c>
      <c r="F47" s="1232"/>
      <c r="G47" s="1232"/>
      <c r="H47" s="1232"/>
      <c r="I47" s="1232"/>
      <c r="J47" s="1232"/>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sheetPr>
    <tabColor theme="3"/>
  </sheetPr>
  <dimension ref="A1:P38"/>
  <sheetViews>
    <sheetView showZeros="0" workbookViewId="0">
      <pane ySplit="4" topLeftCell="A5" activePane="bottomLeft" state="frozen"/>
      <selection activeCell="G34" sqref="G34"/>
      <selection pane="bottomLeft" activeCell="B24" activeCellId="1" sqref="B18:B21 B24"/>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65" t="s">
        <v>177</v>
      </c>
      <c r="B1" s="1265"/>
      <c r="C1" s="1265"/>
      <c r="D1" s="1265"/>
      <c r="E1" s="1265"/>
      <c r="F1" s="1265"/>
      <c r="G1" s="1265"/>
      <c r="H1" s="1265"/>
      <c r="I1" s="1265"/>
      <c r="J1" s="1265"/>
      <c r="K1" s="1265"/>
      <c r="L1" s="1265"/>
      <c r="M1" s="1265"/>
      <c r="N1" s="1265"/>
      <c r="O1" s="1265"/>
      <c r="P1" s="1265"/>
    </row>
    <row r="2" spans="1:16" s="10" customFormat="1" ht="15.75" customHeight="1">
      <c r="A2" s="1287" t="s">
        <v>37</v>
      </c>
      <c r="B2" s="1289" t="s">
        <v>178</v>
      </c>
      <c r="C2" s="1289" t="s">
        <v>179</v>
      </c>
      <c r="D2" s="1289" t="s">
        <v>181</v>
      </c>
      <c r="E2" s="1264" t="s">
        <v>39</v>
      </c>
      <c r="F2" s="1264"/>
      <c r="G2" s="1264"/>
      <c r="H2" s="1264"/>
      <c r="I2" s="1264" t="s">
        <v>40</v>
      </c>
      <c r="J2" s="1264"/>
      <c r="K2" s="1264"/>
      <c r="L2" s="1264"/>
      <c r="M2" s="1285" t="s">
        <v>44</v>
      </c>
      <c r="N2" s="1299"/>
      <c r="O2" s="1299"/>
      <c r="P2" s="1286"/>
    </row>
    <row r="3" spans="1:16" s="10" customFormat="1" ht="15.75" customHeight="1">
      <c r="A3" s="1288"/>
      <c r="B3" s="1290"/>
      <c r="C3" s="1290"/>
      <c r="D3" s="1290"/>
      <c r="E3" s="1264" t="s">
        <v>45</v>
      </c>
      <c r="F3" s="1264"/>
      <c r="G3" s="1264" t="s">
        <v>46</v>
      </c>
      <c r="H3" s="1264"/>
      <c r="I3" s="1264" t="s">
        <v>45</v>
      </c>
      <c r="J3" s="1264"/>
      <c r="K3" s="1264" t="s">
        <v>46</v>
      </c>
      <c r="L3" s="1264"/>
      <c r="M3" s="1264" t="s">
        <v>45</v>
      </c>
      <c r="N3" s="1264"/>
      <c r="O3" s="1264" t="s">
        <v>46</v>
      </c>
      <c r="P3" s="1264"/>
    </row>
    <row r="4" spans="1:16" s="10" customFormat="1" ht="15.75" customHeight="1">
      <c r="A4" s="1288"/>
      <c r="B4" s="1290"/>
      <c r="C4" s="1290"/>
      <c r="D4" s="1290"/>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728</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f t="shared" si="2"/>
        <v>24</v>
      </c>
      <c r="B28" s="898" t="s">
        <v>1566</v>
      </c>
      <c r="C28" s="233">
        <v>42501</v>
      </c>
      <c r="D28" s="233"/>
      <c r="E28" s="233"/>
      <c r="F28" s="8"/>
      <c r="G28" s="8"/>
      <c r="H28" s="8"/>
      <c r="I28" s="25">
        <f t="array" ref="I28">SUM(IF("341"&amp;B28=LEFT(KHN,3)&amp;KH,_TH))</f>
        <v>0</v>
      </c>
      <c r="J28" s="8">
        <f t="array" ref="J28">SUM(IF("341"&amp;B28=LEFT(KHN,3)&amp;KH,TH))</f>
        <v>1418407200</v>
      </c>
      <c r="K28" s="8">
        <f t="array" ref="K28">SUM(IF("341"&amp;B28=LEFT(KHC,3)&amp;KH,_TH))</f>
        <v>0</v>
      </c>
      <c r="L28" s="8">
        <f t="array" ref="L28">SUM(IF("341"&amp;B28=LEFT(KHC,3)&amp;KH,TH))</f>
        <v>1418407200</v>
      </c>
      <c r="M28" s="236">
        <f t="shared" si="8"/>
        <v>0</v>
      </c>
      <c r="N28" s="236">
        <f t="shared" si="9"/>
        <v>0</v>
      </c>
      <c r="O28" s="236">
        <f t="shared" si="10"/>
        <v>0</v>
      </c>
      <c r="P28" s="236">
        <f t="shared" si="11"/>
        <v>0</v>
      </c>
    </row>
    <row r="29" spans="1:16" s="10" customFormat="1" ht="18" customHeight="1">
      <c r="A29" s="901">
        <f t="shared" si="2"/>
        <v>25</v>
      </c>
      <c r="B29" s="898" t="s">
        <v>1567</v>
      </c>
      <c r="C29" s="233">
        <v>42503</v>
      </c>
      <c r="D29" s="233"/>
      <c r="E29" s="233"/>
      <c r="F29" s="8"/>
      <c r="G29" s="8"/>
      <c r="H29" s="8"/>
      <c r="I29" s="25">
        <f t="array" ref="I29">SUM(IF("341"&amp;B29=LEFT(KHN,3)&amp;KH,_TH))</f>
        <v>0</v>
      </c>
      <c r="J29" s="8">
        <f t="array" ref="J29">SUM(IF("341"&amp;B29=LEFT(KHN,3)&amp;KH,TH))</f>
        <v>837658200</v>
      </c>
      <c r="K29" s="8">
        <f t="array" ref="K29">SUM(IF("341"&amp;B29=LEFT(KHC,3)&amp;KH,_TH))</f>
        <v>0</v>
      </c>
      <c r="L29" s="8">
        <f t="array" ref="L29">SUM(IF("341"&amp;B29=LEFT(KHC,3)&amp;KH,TH))</f>
        <v>837658200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11067932400</v>
      </c>
      <c r="K34" s="13"/>
      <c r="L34" s="13">
        <f>SUM(L5:L33)</f>
        <v>11096029400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sheetPr>
    <tabColor theme="3"/>
  </sheetPr>
  <dimension ref="A1:N49"/>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1.85546875"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1" t="s">
        <v>239</v>
      </c>
      <c r="K1" s="1291"/>
      <c r="L1" s="1291"/>
      <c r="M1" s="1291"/>
      <c r="N1" s="1291"/>
    </row>
    <row r="2" spans="1:14" s="241" customFormat="1" ht="16.5" customHeight="1">
      <c r="A2" s="248" t="s">
        <v>180</v>
      </c>
      <c r="B2" s="363"/>
      <c r="C2" s="363"/>
      <c r="H2" s="242"/>
      <c r="I2" s="242"/>
      <c r="J2" s="1292" t="s">
        <v>240</v>
      </c>
      <c r="K2" s="1292"/>
      <c r="L2" s="1292"/>
      <c r="M2" s="1292"/>
      <c r="N2" s="1292"/>
    </row>
    <row r="3" spans="1:14" s="241" customFormat="1" ht="16.5" customHeight="1">
      <c r="A3" s="363"/>
      <c r="B3" s="363"/>
      <c r="C3" s="363"/>
      <c r="H3" s="242"/>
      <c r="I3" s="242"/>
      <c r="J3" s="1292"/>
      <c r="K3" s="1292"/>
      <c r="L3" s="1292"/>
      <c r="M3" s="1292"/>
      <c r="N3" s="1292"/>
    </row>
    <row r="4" spans="1:14" s="241" customFormat="1" ht="16.5" customHeight="1">
      <c r="A4" s="363"/>
      <c r="B4" s="363"/>
      <c r="C4" s="363"/>
      <c r="H4" s="242"/>
      <c r="I4" s="242"/>
      <c r="J4" s="364"/>
      <c r="K4" s="364"/>
      <c r="L4" s="364"/>
      <c r="M4" s="364"/>
      <c r="N4" s="364"/>
    </row>
    <row r="5" spans="1:14" s="18" customFormat="1" ht="23.25" customHeight="1">
      <c r="A5" s="1275" t="s">
        <v>241</v>
      </c>
      <c r="B5" s="1275"/>
      <c r="C5" s="1275"/>
      <c r="D5" s="1275"/>
      <c r="E5" s="1275"/>
      <c r="F5" s="1275"/>
      <c r="G5" s="1275"/>
      <c r="H5" s="1275"/>
      <c r="I5" s="1275"/>
      <c r="J5" s="1275"/>
      <c r="K5" s="1275"/>
      <c r="L5" s="1275"/>
      <c r="M5" s="1275"/>
      <c r="N5" s="1275"/>
    </row>
    <row r="6" spans="1:14" s="18" customFormat="1">
      <c r="A6" s="1232" t="s">
        <v>242</v>
      </c>
      <c r="B6" s="1232"/>
      <c r="C6" s="1232"/>
      <c r="D6" s="1232"/>
      <c r="E6" s="1232"/>
      <c r="F6" s="1232"/>
      <c r="G6" s="1232"/>
      <c r="H6" s="1232"/>
      <c r="I6" s="1232"/>
      <c r="J6" s="1232"/>
      <c r="K6" s="1232"/>
      <c r="L6" s="1232"/>
      <c r="M6" s="1232"/>
      <c r="N6" s="1232"/>
    </row>
    <row r="7" spans="1:14" s="18" customFormat="1">
      <c r="A7" s="1232" t="s">
        <v>243</v>
      </c>
      <c r="B7" s="1232"/>
      <c r="C7" s="1232"/>
      <c r="D7" s="1232"/>
      <c r="E7" s="1232"/>
      <c r="F7" s="1232"/>
      <c r="G7" s="1232"/>
      <c r="H7" s="1232"/>
      <c r="I7" s="1232"/>
      <c r="J7" s="1232"/>
      <c r="K7" s="1232"/>
      <c r="L7" s="1232"/>
      <c r="M7" s="1232"/>
      <c r="N7" s="1232"/>
    </row>
    <row r="8" spans="1:14" s="18" customFormat="1" ht="15" customHeight="1">
      <c r="A8" s="1232" t="str">
        <f>IF(MID($H$9,4,4)="1015","Đối tượng cho vay: NH Eximbank CN Q11","Đối tượng cho vay: NH Eximbank CN Q4")</f>
        <v>Đối tượng cho vay: NH Eximbank CN Q11</v>
      </c>
      <c r="B8" s="1232"/>
      <c r="C8" s="1232"/>
      <c r="D8" s="1232"/>
      <c r="E8" s="1232"/>
      <c r="F8" s="1232"/>
      <c r="G8" s="1232"/>
      <c r="H8" s="1232"/>
      <c r="I8" s="1232"/>
      <c r="J8" s="1232"/>
      <c r="K8" s="1232"/>
      <c r="L8" s="1232"/>
      <c r="M8" s="1232"/>
      <c r="N8" s="1232"/>
    </row>
    <row r="9" spans="1:14" s="18" customFormat="1">
      <c r="A9" s="362"/>
      <c r="B9" s="362"/>
      <c r="C9" s="362"/>
      <c r="D9" s="362"/>
      <c r="E9" s="362"/>
      <c r="F9" s="362"/>
      <c r="G9" s="20" t="s">
        <v>244</v>
      </c>
      <c r="H9" s="1302" t="s">
        <v>1567</v>
      </c>
      <c r="I9" s="1302"/>
      <c r="J9" s="365" t="str">
        <f>"ngày "&amp; TEXT(VLOOKUP($H$9,'341'!$B$5:$P$33,2,0),"dd/MM/yy")</f>
        <v>ngày 13/05/16</v>
      </c>
      <c r="K9" s="362"/>
      <c r="L9" s="362"/>
      <c r="M9" s="362"/>
      <c r="N9" s="362"/>
    </row>
    <row r="10" spans="1:14" s="18" customFormat="1">
      <c r="A10" s="1232" t="s">
        <v>245</v>
      </c>
      <c r="B10" s="1232"/>
      <c r="C10" s="1232"/>
      <c r="D10" s="1232"/>
      <c r="E10" s="1232"/>
      <c r="F10" s="1232"/>
      <c r="G10" s="1232"/>
      <c r="H10" s="1232"/>
      <c r="I10" s="1232"/>
      <c r="J10" s="1232"/>
      <c r="K10" s="1232"/>
      <c r="L10" s="1232"/>
      <c r="M10" s="1232"/>
      <c r="N10" s="1232"/>
    </row>
    <row r="11" spans="1:14" s="18" customFormat="1">
      <c r="C11" s="1294"/>
      <c r="D11" s="1294"/>
      <c r="E11" s="1294"/>
      <c r="F11" s="1294"/>
      <c r="G11" s="1294"/>
      <c r="H11" s="1294"/>
      <c r="I11" s="1294"/>
      <c r="J11" s="1294"/>
      <c r="K11" s="1294"/>
      <c r="L11" s="1294"/>
      <c r="M11" s="1294"/>
      <c r="N11" s="1294"/>
    </row>
    <row r="12" spans="1:14" s="18" customFormat="1" ht="15.75" customHeight="1">
      <c r="A12" s="1303" t="s">
        <v>22</v>
      </c>
      <c r="B12" s="1296" t="s">
        <v>1</v>
      </c>
      <c r="C12" s="1297"/>
      <c r="D12" s="1303" t="s">
        <v>0</v>
      </c>
      <c r="E12" s="1303" t="s">
        <v>16</v>
      </c>
      <c r="F12" s="1303" t="s">
        <v>246</v>
      </c>
      <c r="G12" s="1296" t="s">
        <v>23</v>
      </c>
      <c r="H12" s="1308"/>
      <c r="I12" s="1308"/>
      <c r="J12" s="1301"/>
      <c r="K12" s="1296" t="s">
        <v>33</v>
      </c>
      <c r="L12" s="1308"/>
      <c r="M12" s="1308"/>
      <c r="N12" s="1301"/>
    </row>
    <row r="13" spans="1:14" s="18" customFormat="1" ht="15.75" customHeight="1">
      <c r="A13" s="1304"/>
      <c r="B13" s="1309" t="s">
        <v>17</v>
      </c>
      <c r="C13" s="1309" t="s">
        <v>34</v>
      </c>
      <c r="D13" s="1304"/>
      <c r="E13" s="1304"/>
      <c r="F13" s="1306"/>
      <c r="G13" s="1300" t="s">
        <v>24</v>
      </c>
      <c r="H13" s="1301"/>
      <c r="I13" s="1300" t="s">
        <v>25</v>
      </c>
      <c r="J13" s="1301"/>
      <c r="K13" s="1300" t="s">
        <v>24</v>
      </c>
      <c r="L13" s="1301"/>
      <c r="M13" s="1300" t="s">
        <v>25</v>
      </c>
      <c r="N13" s="1301"/>
    </row>
    <row r="14" spans="1:14" s="18" customFormat="1" ht="32.25" customHeight="1">
      <c r="A14" s="1305"/>
      <c r="B14" s="1310"/>
      <c r="C14" s="1310"/>
      <c r="D14" s="1305"/>
      <c r="E14" s="1305"/>
      <c r="F14" s="1307"/>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0</v>
      </c>
      <c r="N16" s="395">
        <f>VLOOKUP($H$9,'341'!$B$5:$P$33,7,0)</f>
        <v>0</v>
      </c>
    </row>
    <row r="17" spans="1:14" s="18" customFormat="1" ht="19.5" customHeight="1">
      <c r="A17" s="334">
        <f ca="1">IF(ROWS($1:1)&gt;COUNT(Dong4),"",OFFSET(TH!C$1,SMALL(Dong4,ROWS($1:1)),))</f>
        <v>42503</v>
      </c>
      <c r="B17" s="243" t="str">
        <f ca="1">IF(ROWS($1:1)&gt;COUNT(Dong4),"",OFFSET(TH!D$1,SMALL(Dong4,ROWS($1:1)),))</f>
        <v>GBC</v>
      </c>
      <c r="C17" s="243">
        <f ca="1">IF(ROWS($1:1)&gt;COUNT(Dong4),"",OFFSET(TH!E$1,SMALL(Dong4,ROWS($1:1)),))</f>
        <v>42503</v>
      </c>
      <c r="D17" s="396" t="str">
        <f ca="1">IF(ROWS($1:1)&gt;COUNT(Dong4),"",OFFSET(TH!F$1,SMALL(Dong4,ROWS($1:1)),))</f>
        <v>Chiết khấu LC</v>
      </c>
      <c r="E17" s="243" t="str">
        <f ca="1">IF(ROWS($1:1)&gt;COUNT(Dong4),"",IF(LEFT(OFFSET(TH!O$1,SMALL(Dong4,ROWS($1:1)),),3)="341",OFFSET(TH!N$1,SMALL(Dong4,ROWS($1:1)),),OFFSET(TH!O$1,SMALL(Dong4,ROWS($1:1)),)))</f>
        <v>1121</v>
      </c>
      <c r="F17" s="397"/>
      <c r="G17" s="398">
        <f ca="1">IF(ROWS($1:1)&gt;COUNT(Dong4),"",IF(LEFT(OFFSET(TH!N$1,SMALL(Dong4,ROWS($1:1)),),3)="341",OFFSET(TH!K$1,SMALL(Dong4,ROWS($1:1)),),0))</f>
        <v>0</v>
      </c>
      <c r="H17" s="397">
        <f ca="1">IF(ROWS($1:1)&gt;COUNT(Dong4),"",IF(LEFT(OFFSET(TH!N$1,SMALL(Dong4,ROWS($1:1)),),3)="341",OFFSET(TH!M$1,SMALL(Dong4,ROWS($1:1)),),0))</f>
        <v>0</v>
      </c>
      <c r="I17" s="398">
        <f ca="1">IF(ROWS($1:1)&gt;COUNT(Dong4),"",IF(LEFT(OFFSET(TH!O$1,SMALL(Dong4,ROWS($1:1)),),3)="341",OFFSET(TH!K$1,SMALL(Dong4,ROWS($1:1)),),0))</f>
        <v>0</v>
      </c>
      <c r="J17" s="397">
        <f ca="1">IF(ROWS($1:1)&gt;COUNT(Dong4),"",IF(LEFT(OFFSET(TH!O$1,SMALL(Dong4,ROWS($1:1)),),3)="341",OFFSET(TH!M$1,SMALL(Dong4,ROWS($1:1)),),0))</f>
        <v>836613245</v>
      </c>
      <c r="K17" s="234">
        <f ca="1">IF(C17&lt;&gt;"",ROUND(MAX(K16+G17-I17-M16,0),2),0)</f>
        <v>0</v>
      </c>
      <c r="L17" s="8">
        <f ca="1">IF(C17&lt;&gt;"",MAX(L16-N16+H17-J17,0),0)</f>
        <v>0</v>
      </c>
      <c r="M17" s="234">
        <f ca="1">IF(C17&lt;&gt;"",ROUND(MAX(M16+I17-G17-K16,0),2),0)</f>
        <v>0</v>
      </c>
      <c r="N17" s="8">
        <f ca="1">IF(C17&lt;&gt;"",MAX(N16-L16+J17-H17,0),0)</f>
        <v>836613245</v>
      </c>
    </row>
    <row r="18" spans="1:14" s="399" customFormat="1" ht="19.5" customHeight="1">
      <c r="A18" s="334">
        <f ca="1">IF(ROWS($1:2)&gt;COUNT(Dong4),"",OFFSET(TH!C$1,SMALL(Dong4,ROWS($1:2)),))</f>
        <v>42503</v>
      </c>
      <c r="B18" s="243" t="str">
        <f ca="1">IF(ROWS($1:2)&gt;COUNT(Dong4),"",OFFSET(TH!D$1,SMALL(Dong4,ROWS($1:2)),))</f>
        <v>CTGS</v>
      </c>
      <c r="C18" s="243">
        <f ca="1">IF(ROWS($1:2)&gt;COUNT(Dong4),"",OFFSET(TH!E$1,SMALL(Dong4,ROWS($1:2)),))</f>
        <v>42503</v>
      </c>
      <c r="D18" s="396" t="str">
        <f ca="1">IF(ROWS($1:2)&gt;COUNT(Dong4),"",OFFSET(TH!F$1,SMALL(Dong4,ROWS($1:2)),))</f>
        <v>Phí xử lý bộ chứng từ</v>
      </c>
      <c r="E18" s="243" t="str">
        <f ca="1">IF(ROWS($1:2)&gt;COUNT(Dong4),"",IF(LEFT(OFFSET(TH!O$1,SMALL(Dong4,ROWS($1:2)),),3)="341",OFFSET(TH!N$1,SMALL(Dong4,ROWS($1:2)),),OFFSET(TH!O$1,SMALL(Dong4,ROWS($1:2)),)))</f>
        <v>642</v>
      </c>
      <c r="F18" s="397"/>
      <c r="G18" s="398">
        <f ca="1">IF(ROWS($1:2)&gt;COUNT(Dong4),"",IF(LEFT(OFFSET(TH!N$1,SMALL(Dong4,ROWS($1:2)),),3)="341",OFFSET(TH!K$1,SMALL(Dong4,ROWS($1:2)),),0))</f>
        <v>0</v>
      </c>
      <c r="H18" s="397">
        <f ca="1">IF(ROWS($1:2)&gt;COUNT(Dong4),"",IF(LEFT(OFFSET(TH!N$1,SMALL(Dong4,ROWS($1:2)),),3)="341",OFFSET(TH!M$1,SMALL(Dong4,ROWS($1:2)),),0))</f>
        <v>0</v>
      </c>
      <c r="I18" s="398">
        <f ca="1">IF(ROWS($1:2)&gt;COUNT(Dong4),"",IF(LEFT(OFFSET(TH!O$1,SMALL(Dong4,ROWS($1:2)),),3)="341",OFFSET(TH!K$1,SMALL(Dong4,ROWS($1:2)),),0))</f>
        <v>0</v>
      </c>
      <c r="J18" s="397">
        <f ca="1">IF(ROWS($1:2)&gt;COUNT(Dong4),"",IF(LEFT(OFFSET(TH!O$1,SMALL(Dong4,ROWS($1:2)),),3)="341",OFFSET(TH!M$1,SMALL(Dong4,ROWS($1:2)),),0))</f>
        <v>222900</v>
      </c>
      <c r="K18" s="234">
        <f ca="1">IF(C18&lt;&gt;"",ROUND(MAX(K17+G18-I18-M17,0),2),0)</f>
        <v>0</v>
      </c>
      <c r="L18" s="8">
        <f ca="1">IF(C18&lt;&gt;"",MAX(L17-N17+H18-J18,0),0)</f>
        <v>0</v>
      </c>
      <c r="M18" s="234">
        <f ca="1">IF(C18&lt;&gt;"",ROUND(MAX(M17+I18-G18-K17,0),2),0)</f>
        <v>0</v>
      </c>
      <c r="N18" s="8">
        <f ca="1">IF(C18&lt;&gt;"",MAX(N17-L17+J18-H18,0),0)</f>
        <v>836836145</v>
      </c>
    </row>
    <row r="19" spans="1:14" s="399" customFormat="1" ht="19.5" customHeight="1">
      <c r="A19" s="334">
        <f ca="1">IF(ROWS($1:3)&gt;COUNT(Dong4),"",OFFSET(TH!C$1,SMALL(Dong4,ROWS($1:3)),))</f>
        <v>42503</v>
      </c>
      <c r="B19" s="243" t="str">
        <f ca="1">IF(ROWS($1:3)&gt;COUNT(Dong4),"",OFFSET(TH!D$1,SMALL(Dong4,ROWS($1:3)),))</f>
        <v>CTGS</v>
      </c>
      <c r="C19" s="243">
        <f ca="1">IF(ROWS($1:3)&gt;COUNT(Dong4),"",OFFSET(TH!E$1,SMALL(Dong4,ROWS($1:3)),))</f>
        <v>42503</v>
      </c>
      <c r="D19" s="396" t="str">
        <f ca="1">IF(ROWS($1:3)&gt;COUNT(Dong4),"",OFFSET(TH!F$1,SMALL(Dong4,ROWS($1:3)),))</f>
        <v>VAT Phí xử lý bộ chứng từ</v>
      </c>
      <c r="E19" s="243" t="str">
        <f ca="1">IF(ROWS($1:3)&gt;COUNT(Dong4),"",IF(LEFT(OFFSET(TH!O$1,SMALL(Dong4,ROWS($1:3)),),3)="341",OFFSET(TH!N$1,SMALL(Dong4,ROWS($1:3)),),OFFSET(TH!O$1,SMALL(Dong4,ROWS($1:3)),)))</f>
        <v>1331</v>
      </c>
      <c r="F19" s="397"/>
      <c r="G19" s="398">
        <f ca="1">IF(ROWS($1:3)&gt;COUNT(Dong4),"",IF(LEFT(OFFSET(TH!N$1,SMALL(Dong4,ROWS($1:3)),),3)="341",OFFSET(TH!K$1,SMALL(Dong4,ROWS($1:3)),),0))</f>
        <v>0</v>
      </c>
      <c r="H19" s="397">
        <f ca="1">IF(ROWS($1:3)&gt;COUNT(Dong4),"",IF(LEFT(OFFSET(TH!N$1,SMALL(Dong4,ROWS($1:3)),),3)="341",OFFSET(TH!M$1,SMALL(Dong4,ROWS($1:3)),),0))</f>
        <v>0</v>
      </c>
      <c r="I19" s="398">
        <f ca="1">IF(ROWS($1:3)&gt;COUNT(Dong4),"",IF(LEFT(OFFSET(TH!O$1,SMALL(Dong4,ROWS($1:3)),),3)="341",OFFSET(TH!K$1,SMALL(Dong4,ROWS($1:3)),),0))</f>
        <v>0</v>
      </c>
      <c r="J19" s="397">
        <f ca="1">IF(ROWS($1:3)&gt;COUNT(Dong4),"",IF(LEFT(OFFSET(TH!O$1,SMALL(Dong4,ROWS($1:3)),),3)="341",OFFSET(TH!M$1,SMALL(Dong4,ROWS($1:3)),),0))</f>
        <v>22290</v>
      </c>
      <c r="K19" s="234">
        <f ca="1">IF(C19&lt;&gt;"",ROUND(MAX(K18+G19-I19-M18,0),2),0)</f>
        <v>0</v>
      </c>
      <c r="L19" s="8">
        <f ca="1">IF(C19&lt;&gt;"",MAX(L18-N18+H19-J19,0),0)</f>
        <v>0</v>
      </c>
      <c r="M19" s="234">
        <f ca="1">IF(C19&lt;&gt;"",ROUND(MAX(M18+I19-G19-K18,0),2),0)</f>
        <v>0</v>
      </c>
      <c r="N19" s="8">
        <f ca="1">IF(C19&lt;&gt;"",MAX(N18-L18+J19-H19,0),0)</f>
        <v>836858435</v>
      </c>
    </row>
    <row r="20" spans="1:14" s="399" customFormat="1" ht="19.5" customHeight="1">
      <c r="A20" s="334">
        <f ca="1">IF(ROWS($1:4)&gt;COUNT(Dong4),"",OFFSET(TH!C$1,SMALL(Dong4,ROWS($1:4)),))</f>
        <v>42503</v>
      </c>
      <c r="B20" s="243" t="str">
        <f ca="1">IF(ROWS($1:4)&gt;COUNT(Dong4),"",OFFSET(TH!D$1,SMALL(Dong4,ROWS($1:4)),))</f>
        <v>CTGS</v>
      </c>
      <c r="C20" s="243">
        <f ca="1">IF(ROWS($1:4)&gt;COUNT(Dong4),"",OFFSET(TH!E$1,SMALL(Dong4,ROWS($1:4)),))</f>
        <v>42503</v>
      </c>
      <c r="D20" s="396" t="str">
        <f ca="1">IF(ROWS($1:4)&gt;COUNT(Dong4),"",OFFSET(TH!F$1,SMALL(Dong4,ROWS($1:4)),))</f>
        <v>Phí DHL</v>
      </c>
      <c r="E20" s="243" t="str">
        <f ca="1">IF(ROWS($1:4)&gt;COUNT(Dong4),"",IF(LEFT(OFFSET(TH!O$1,SMALL(Dong4,ROWS($1:4)),),3)="341",OFFSET(TH!N$1,SMALL(Dong4,ROWS($1:4)),),OFFSET(TH!O$1,SMALL(Dong4,ROWS($1:4)),)))</f>
        <v>642</v>
      </c>
      <c r="F20" s="397"/>
      <c r="G20" s="398">
        <f ca="1">IF(ROWS($1:4)&gt;COUNT(Dong4),"",IF(LEFT(OFFSET(TH!N$1,SMALL(Dong4,ROWS($1:4)),),3)="341",OFFSET(TH!K$1,SMALL(Dong4,ROWS($1:4)),),0))</f>
        <v>0</v>
      </c>
      <c r="H20" s="397">
        <f ca="1">IF(ROWS($1:4)&gt;COUNT(Dong4),"",IF(LEFT(OFFSET(TH!N$1,SMALL(Dong4,ROWS($1:4)),),3)="341",OFFSET(TH!M$1,SMALL(Dong4,ROWS($1:4)),),0))</f>
        <v>0</v>
      </c>
      <c r="I20" s="398">
        <f ca="1">IF(ROWS($1:4)&gt;COUNT(Dong4),"",IF(LEFT(OFFSET(TH!O$1,SMALL(Dong4,ROWS($1:4)),),3)="341",OFFSET(TH!K$1,SMALL(Dong4,ROWS($1:4)),),0))</f>
        <v>0</v>
      </c>
      <c r="J20" s="397">
        <f ca="1">IF(ROWS($1:4)&gt;COUNT(Dong4),"",IF(LEFT(OFFSET(TH!O$1,SMALL(Dong4,ROWS($1:4)),),3)="341",OFFSET(TH!M$1,SMALL(Dong4,ROWS($1:4)),),0))</f>
        <v>615650</v>
      </c>
      <c r="K20" s="234">
        <f t="shared" ref="K20:K25" ca="1" si="0">IF(C20&lt;&gt;"",ROUND(MAX(K19+G20-I20-M19,0),2),0)</f>
        <v>0</v>
      </c>
      <c r="L20" s="8">
        <f t="shared" ref="L20:L25" ca="1" si="1">IF(C20&lt;&gt;"",MAX(L19-N19+H20-J20,0),0)</f>
        <v>0</v>
      </c>
      <c r="M20" s="234">
        <f t="shared" ref="M20:M25" ca="1" si="2">IF(C20&lt;&gt;"",ROUND(MAX(M19+I20-G20-K19,0),2),0)</f>
        <v>0</v>
      </c>
      <c r="N20" s="8">
        <f t="shared" ref="N20:N25" ca="1" si="3">IF(C20&lt;&gt;"",MAX(N19-L19+J20-H20,0),0)</f>
        <v>837474085</v>
      </c>
    </row>
    <row r="21" spans="1:14" s="399" customFormat="1" ht="19.5" customHeight="1">
      <c r="A21" s="334">
        <f ca="1">IF(ROWS($1:5)&gt;COUNT(Dong4),"",OFFSET(TH!C$1,SMALL(Dong4,ROWS($1:5)),))</f>
        <v>42503</v>
      </c>
      <c r="B21" s="243" t="str">
        <f ca="1">IF(ROWS($1:5)&gt;COUNT(Dong4),"",OFFSET(TH!D$1,SMALL(Dong4,ROWS($1:5)),))</f>
        <v>CTGS</v>
      </c>
      <c r="C21" s="243">
        <f ca="1">IF(ROWS($1:5)&gt;COUNT(Dong4),"",OFFSET(TH!E$1,SMALL(Dong4,ROWS($1:5)),))</f>
        <v>42503</v>
      </c>
      <c r="D21" s="396" t="str">
        <f ca="1">IF(ROWS($1:5)&gt;COUNT(Dong4),"",OFFSET(TH!F$1,SMALL(Dong4,ROWS($1:5)),))</f>
        <v>VAT Phí DHL</v>
      </c>
      <c r="E21" s="243" t="str">
        <f ca="1">IF(ROWS($1:5)&gt;COUNT(Dong4),"",IF(LEFT(OFFSET(TH!O$1,SMALL(Dong4,ROWS($1:5)),),3)="341",OFFSET(TH!N$1,SMALL(Dong4,ROWS($1:5)),),OFFSET(TH!O$1,SMALL(Dong4,ROWS($1:5)),)))</f>
        <v>1331</v>
      </c>
      <c r="F21" s="397"/>
      <c r="G21" s="398">
        <f ca="1">IF(ROWS($1:5)&gt;COUNT(Dong4),"",IF(LEFT(OFFSET(TH!N$1,SMALL(Dong4,ROWS($1:5)),),3)="341",OFFSET(TH!K$1,SMALL(Dong4,ROWS($1:5)),),0))</f>
        <v>0</v>
      </c>
      <c r="H21" s="397">
        <f ca="1">IF(ROWS($1:5)&gt;COUNT(Dong4),"",IF(LEFT(OFFSET(TH!N$1,SMALL(Dong4,ROWS($1:5)),),3)="341",OFFSET(TH!M$1,SMALL(Dong4,ROWS($1:5)),),0))</f>
        <v>0</v>
      </c>
      <c r="I21" s="398">
        <f ca="1">IF(ROWS($1:5)&gt;COUNT(Dong4),"",IF(LEFT(OFFSET(TH!O$1,SMALL(Dong4,ROWS($1:5)),),3)="341",OFFSET(TH!K$1,SMALL(Dong4,ROWS($1:5)),),0))</f>
        <v>0</v>
      </c>
      <c r="J21" s="397">
        <f ca="1">IF(ROWS($1:5)&gt;COUNT(Dong4),"",IF(LEFT(OFFSET(TH!O$1,SMALL(Dong4,ROWS($1:5)),),3)="341",OFFSET(TH!M$1,SMALL(Dong4,ROWS($1:5)),),0))</f>
        <v>61520</v>
      </c>
      <c r="K21" s="234">
        <f t="shared" ca="1" si="0"/>
        <v>0</v>
      </c>
      <c r="L21" s="8">
        <f t="shared" ca="1" si="1"/>
        <v>0</v>
      </c>
      <c r="M21" s="234">
        <f t="shared" ca="1" si="2"/>
        <v>0</v>
      </c>
      <c r="N21" s="8">
        <f t="shared" ca="1" si="3"/>
        <v>837535605</v>
      </c>
    </row>
    <row r="22" spans="1:14" s="399" customFormat="1" ht="19.5" customHeight="1">
      <c r="A22" s="334">
        <f ca="1">IF(ROWS($1:6)&gt;COUNT(Dong4),"",OFFSET(TH!C$1,SMALL(Dong4,ROWS($1:6)),))</f>
        <v>42503</v>
      </c>
      <c r="B22" s="243" t="str">
        <f ca="1">IF(ROWS($1:6)&gt;COUNT(Dong4),"",OFFSET(TH!D$1,SMALL(Dong4,ROWS($1:6)),))</f>
        <v>CTGS</v>
      </c>
      <c r="C22" s="243">
        <f ca="1">IF(ROWS($1:6)&gt;COUNT(Dong4),"",OFFSET(TH!E$1,SMALL(Dong4,ROWS($1:6)),))</f>
        <v>42503</v>
      </c>
      <c r="D22" s="396" t="str">
        <f ca="1">IF(ROWS($1:6)&gt;COUNT(Dong4),"",OFFSET(TH!F$1,SMALL(Dong4,ROWS($1:6)),))</f>
        <v>Điện phí</v>
      </c>
      <c r="E22" s="243" t="str">
        <f ca="1">IF(ROWS($1:6)&gt;COUNT(Dong4),"",IF(LEFT(OFFSET(TH!O$1,SMALL(Dong4,ROWS($1:6)),),3)="341",OFFSET(TH!N$1,SMALL(Dong4,ROWS($1:6)),),OFFSET(TH!O$1,SMALL(Dong4,ROWS($1:6)),)))</f>
        <v>642</v>
      </c>
      <c r="F22" s="397"/>
      <c r="G22" s="398">
        <f ca="1">IF(ROWS($1:6)&gt;COUNT(Dong4),"",IF(LEFT(OFFSET(TH!N$1,SMALL(Dong4,ROWS($1:6)),),3)="341",OFFSET(TH!K$1,SMALL(Dong4,ROWS($1:6)),),0))</f>
        <v>0</v>
      </c>
      <c r="H22" s="397">
        <f ca="1">IF(ROWS($1:6)&gt;COUNT(Dong4),"",IF(LEFT(OFFSET(TH!N$1,SMALL(Dong4,ROWS($1:6)),),3)="341",OFFSET(TH!M$1,SMALL(Dong4,ROWS($1:6)),),0))</f>
        <v>0</v>
      </c>
      <c r="I22" s="398">
        <f ca="1">IF(ROWS($1:6)&gt;COUNT(Dong4),"",IF(LEFT(OFFSET(TH!O$1,SMALL(Dong4,ROWS($1:6)),),3)="341",OFFSET(TH!K$1,SMALL(Dong4,ROWS($1:6)),),0))</f>
        <v>0</v>
      </c>
      <c r="J22" s="397">
        <f ca="1">IF(ROWS($1:6)&gt;COUNT(Dong4),"",IF(LEFT(OFFSET(TH!O$1,SMALL(Dong4,ROWS($1:6)),),3)="341",OFFSET(TH!M$1,SMALL(Dong4,ROWS($1:6)),),0))</f>
        <v>111450</v>
      </c>
      <c r="K22" s="234">
        <f t="shared" ca="1" si="0"/>
        <v>0</v>
      </c>
      <c r="L22" s="8">
        <f t="shared" ca="1" si="1"/>
        <v>0</v>
      </c>
      <c r="M22" s="234">
        <f t="shared" ca="1" si="2"/>
        <v>0</v>
      </c>
      <c r="N22" s="8">
        <f t="shared" ca="1" si="3"/>
        <v>837647055</v>
      </c>
    </row>
    <row r="23" spans="1:14" s="399" customFormat="1" ht="19.5" customHeight="1">
      <c r="A23" s="334">
        <f ca="1">IF(ROWS($1:7)&gt;COUNT(Dong4),"",OFFSET(TH!C$1,SMALL(Dong4,ROWS($1:7)),))</f>
        <v>42503</v>
      </c>
      <c r="B23" s="243" t="str">
        <f ca="1">IF(ROWS($1:7)&gt;COUNT(Dong4),"",OFFSET(TH!D$1,SMALL(Dong4,ROWS($1:7)),))</f>
        <v>CTGS</v>
      </c>
      <c r="C23" s="243">
        <f ca="1">IF(ROWS($1:7)&gt;COUNT(Dong4),"",OFFSET(TH!E$1,SMALL(Dong4,ROWS($1:7)),))</f>
        <v>42503</v>
      </c>
      <c r="D23" s="396" t="str">
        <f ca="1">IF(ROWS($1:7)&gt;COUNT(Dong4),"",OFFSET(TH!F$1,SMALL(Dong4,ROWS($1:7)),))</f>
        <v>VAT Điện phí</v>
      </c>
      <c r="E23" s="243" t="str">
        <f ca="1">IF(ROWS($1:7)&gt;COUNT(Dong4),"",IF(LEFT(OFFSET(TH!O$1,SMALL(Dong4,ROWS($1:7)),),3)="341",OFFSET(TH!N$1,SMALL(Dong4,ROWS($1:7)),),OFFSET(TH!O$1,SMALL(Dong4,ROWS($1:7)),)))</f>
        <v>1331</v>
      </c>
      <c r="F23" s="397"/>
      <c r="G23" s="398">
        <f ca="1">IF(ROWS($1:7)&gt;COUNT(Dong4),"",IF(LEFT(OFFSET(TH!N$1,SMALL(Dong4,ROWS($1:7)),),3)="341",OFFSET(TH!K$1,SMALL(Dong4,ROWS($1:7)),),0))</f>
        <v>0</v>
      </c>
      <c r="H23" s="397">
        <f ca="1">IF(ROWS($1:7)&gt;COUNT(Dong4),"",IF(LEFT(OFFSET(TH!N$1,SMALL(Dong4,ROWS($1:7)),),3)="341",OFFSET(TH!M$1,SMALL(Dong4,ROWS($1:7)),),0))</f>
        <v>0</v>
      </c>
      <c r="I23" s="398">
        <f ca="1">IF(ROWS($1:7)&gt;COUNT(Dong4),"",IF(LEFT(OFFSET(TH!O$1,SMALL(Dong4,ROWS($1:7)),),3)="341",OFFSET(TH!K$1,SMALL(Dong4,ROWS($1:7)),),0))</f>
        <v>0</v>
      </c>
      <c r="J23" s="397">
        <f ca="1">IF(ROWS($1:7)&gt;COUNT(Dong4),"",IF(LEFT(OFFSET(TH!O$1,SMALL(Dong4,ROWS($1:7)),),3)="341",OFFSET(TH!M$1,SMALL(Dong4,ROWS($1:7)),),0))</f>
        <v>11145</v>
      </c>
      <c r="K23" s="234">
        <f t="shared" ca="1" si="0"/>
        <v>0</v>
      </c>
      <c r="L23" s="8">
        <f t="shared" ca="1" si="1"/>
        <v>0</v>
      </c>
      <c r="M23" s="234">
        <f t="shared" ca="1" si="2"/>
        <v>0</v>
      </c>
      <c r="N23" s="8">
        <f t="shared" ca="1" si="3"/>
        <v>837658200</v>
      </c>
    </row>
    <row r="24" spans="1:14" s="399" customFormat="1" ht="19.5" customHeight="1">
      <c r="A24" s="334">
        <f ca="1">IF(ROWS($1:8)&gt;COUNT(Dong4),"",OFFSET(TH!C$1,SMALL(Dong4,ROWS($1:8)),))</f>
        <v>42517</v>
      </c>
      <c r="B24" s="243" t="str">
        <f ca="1">IF(ROWS($1:8)&gt;COUNT(Dong4),"",OFFSET(TH!D$1,SMALL(Dong4,ROWS($1:8)),))</f>
        <v>GBN</v>
      </c>
      <c r="C24" s="243">
        <f ca="1">IF(ROWS($1:8)&gt;COUNT(Dong4),"",OFFSET(TH!E$1,SMALL(Dong4,ROWS($1:8)),))</f>
        <v>42517</v>
      </c>
      <c r="D24" s="396" t="str">
        <f ca="1">IF(ROWS($1:8)&gt;COUNT(Dong4),"",OFFSET(TH!F$1,SMALL(Dong4,ROWS($1:8)),))</f>
        <v>Trả tiền vay LC</v>
      </c>
      <c r="E24" s="243" t="str">
        <f ca="1">IF(ROWS($1:8)&gt;COUNT(Dong4),"",IF(LEFT(OFFSET(TH!O$1,SMALL(Dong4,ROWS($1:8)),),3)="341",OFFSET(TH!N$1,SMALL(Dong4,ROWS($1:8)),),OFFSET(TH!O$1,SMALL(Dong4,ROWS($1:8)),)))</f>
        <v>1121</v>
      </c>
      <c r="F24" s="397"/>
      <c r="G24" s="398">
        <f ca="1">IF(ROWS($1:8)&gt;COUNT(Dong4),"",IF(LEFT(OFFSET(TH!N$1,SMALL(Dong4,ROWS($1:8)),),3)="341",OFFSET(TH!K$1,SMALL(Dong4,ROWS($1:8)),),0))</f>
        <v>0</v>
      </c>
      <c r="H24" s="397">
        <f ca="1">IF(ROWS($1:8)&gt;COUNT(Dong4),"",IF(LEFT(OFFSET(TH!N$1,SMALL(Dong4,ROWS($1:8)),),3)="341",OFFSET(TH!M$1,SMALL(Dong4,ROWS($1:8)),),0))</f>
        <v>837658200</v>
      </c>
      <c r="I24" s="398">
        <f ca="1">IF(ROWS($1:8)&gt;COUNT(Dong4),"",IF(LEFT(OFFSET(TH!O$1,SMALL(Dong4,ROWS($1:8)),),3)="341",OFFSET(TH!K$1,SMALL(Dong4,ROWS($1:8)),),0))</f>
        <v>0</v>
      </c>
      <c r="J24" s="397">
        <f ca="1">IF(ROWS($1:8)&gt;COUNT(Dong4),"",IF(LEFT(OFFSET(TH!O$1,SMALL(Dong4,ROWS($1:8)),),3)="341",OFFSET(TH!M$1,SMALL(Dong4,ROWS($1:8)),),0))</f>
        <v>0</v>
      </c>
      <c r="K24" s="234">
        <f t="shared" ca="1" si="0"/>
        <v>0</v>
      </c>
      <c r="L24" s="8">
        <f t="shared" ca="1" si="1"/>
        <v>0</v>
      </c>
      <c r="M24" s="234">
        <f t="shared" ca="1" si="2"/>
        <v>0</v>
      </c>
      <c r="N24" s="8">
        <f t="shared" ca="1" si="3"/>
        <v>0</v>
      </c>
    </row>
    <row r="25" spans="1:14" s="399" customFormat="1" ht="19.5" customHeight="1">
      <c r="A25" s="334" t="str">
        <f ca="1">IF(ROWS($1:9)&gt;COUNT(Dong4),"",OFFSET(TH!C$1,SMALL(Dong4,ROWS($1:9)),))</f>
        <v/>
      </c>
      <c r="B25" s="243" t="str">
        <f ca="1">IF(ROWS($1:9)&gt;COUNT(Dong4),"",OFFSET(TH!D$1,SMALL(Dong4,ROWS($1:9)),))</f>
        <v/>
      </c>
      <c r="C25" s="243" t="str">
        <f ca="1">IF(ROWS($1:9)&gt;COUNT(Dong4),"",OFFSET(TH!E$1,SMALL(Dong4,ROWS($1:9)),))</f>
        <v/>
      </c>
      <c r="D25" s="396" t="str">
        <f ca="1">IF(ROWS($1:9)&gt;COUNT(Dong4),"",OFFSET(TH!F$1,SMALL(Dong4,ROWS($1:9)),))</f>
        <v/>
      </c>
      <c r="E25" s="243" t="str">
        <f ca="1">IF(ROWS($1:9)&gt;COUNT(Dong4),"",IF(LEFT(OFFSET(TH!O$1,SMALL(Dong4,ROWS($1:9)),),3)="341",OFFSET(TH!N$1,SMALL(Dong4,ROWS($1:9)),),OFFSET(TH!O$1,SMALL(Dong4,ROWS($1:9)),)))</f>
        <v/>
      </c>
      <c r="F25" s="397"/>
      <c r="G25" s="398" t="str">
        <f ca="1">IF(ROWS($1:9)&gt;COUNT(Dong4),"",IF(LEFT(OFFSET(TH!N$1,SMALL(Dong4,ROWS($1:9)),),3)="341",OFFSET(TH!K$1,SMALL(Dong4,ROWS($1:9)),),0))</f>
        <v/>
      </c>
      <c r="H25" s="397" t="str">
        <f ca="1">IF(ROWS($1:9)&gt;COUNT(Dong4),"",IF(LEFT(OFFSET(TH!N$1,SMALL(Dong4,ROWS($1:9)),),3)="341",OFFSET(TH!M$1,SMALL(Dong4,ROWS($1:9)),),0))</f>
        <v/>
      </c>
      <c r="I25" s="398" t="str">
        <f ca="1">IF(ROWS($1:9)&gt;COUNT(Dong4),"",IF(LEFT(OFFSET(TH!O$1,SMALL(Dong4,ROWS($1:9)),),3)="341",OFFSET(TH!K$1,SMALL(Dong4,ROWS($1:9)),),0))</f>
        <v/>
      </c>
      <c r="J25" s="397" t="str">
        <f ca="1">IF(ROWS($1:9)&gt;COUNT(Dong4),"",IF(LEFT(OFFSET(TH!O$1,SMALL(Dong4,ROWS($1:9)),),3)="341",OFFSET(TH!M$1,SMALL(Dong4,ROWS($1:9)),),0))</f>
        <v/>
      </c>
      <c r="K25" s="234">
        <f t="shared" ca="1" si="0"/>
        <v>0</v>
      </c>
      <c r="L25" s="8">
        <f t="shared" ca="1" si="1"/>
        <v>0</v>
      </c>
      <c r="M25" s="234">
        <f t="shared" ca="1" si="2"/>
        <v>0</v>
      </c>
      <c r="N25" s="8">
        <f t="shared" ca="1" si="3"/>
        <v>0</v>
      </c>
    </row>
    <row r="26" spans="1:14" s="399" customFormat="1" ht="19.5" customHeight="1">
      <c r="A26" s="400"/>
      <c r="B26" s="400"/>
      <c r="C26" s="400"/>
      <c r="D26" s="401"/>
      <c r="E26" s="402"/>
      <c r="F26" s="403"/>
      <c r="G26" s="404"/>
      <c r="H26" s="404"/>
      <c r="I26" s="404"/>
      <c r="J26" s="405"/>
      <c r="K26" s="234"/>
      <c r="L26" s="8"/>
      <c r="M26" s="234"/>
      <c r="N26" s="8"/>
    </row>
    <row r="27" spans="1:14" s="18" customFormat="1" ht="19.5" customHeight="1">
      <c r="A27" s="243"/>
      <c r="B27" s="243"/>
      <c r="C27" s="243"/>
      <c r="D27" s="406" t="s">
        <v>35</v>
      </c>
      <c r="E27" s="335" t="s">
        <v>21</v>
      </c>
      <c r="F27" s="335" t="s">
        <v>21</v>
      </c>
      <c r="G27" s="407">
        <f ca="1">SUM(G17:G26)</f>
        <v>0</v>
      </c>
      <c r="H27" s="1116">
        <f t="shared" ref="H27:J27" ca="1" si="4">SUM(H17:H26)</f>
        <v>837658200</v>
      </c>
      <c r="I27" s="407">
        <f t="shared" ca="1" si="4"/>
        <v>0</v>
      </c>
      <c r="J27" s="1116">
        <f t="shared" ca="1" si="4"/>
        <v>837658200</v>
      </c>
      <c r="K27" s="408" t="s">
        <v>21</v>
      </c>
      <c r="L27" s="408" t="s">
        <v>21</v>
      </c>
      <c r="M27" s="408" t="s">
        <v>21</v>
      </c>
      <c r="N27" s="408" t="s">
        <v>21</v>
      </c>
    </row>
    <row r="28" spans="1:14" s="18" customFormat="1" ht="19.5" customHeight="1">
      <c r="A28" s="409"/>
      <c r="B28" s="409"/>
      <c r="C28" s="409"/>
      <c r="D28" s="410" t="s">
        <v>10</v>
      </c>
      <c r="E28" s="411" t="s">
        <v>21</v>
      </c>
      <c r="F28" s="411" t="s">
        <v>21</v>
      </c>
      <c r="G28" s="411" t="s">
        <v>21</v>
      </c>
      <c r="H28" s="411" t="s">
        <v>21</v>
      </c>
      <c r="I28" s="411" t="s">
        <v>21</v>
      </c>
      <c r="J28" s="411" t="s">
        <v>21</v>
      </c>
      <c r="K28" s="412">
        <f ca="1">MAX(K16+G27-M16-I27,0)</f>
        <v>0</v>
      </c>
      <c r="L28" s="413">
        <f ca="1">MAX(L16+H27-N16-J27,0)</f>
        <v>0</v>
      </c>
      <c r="M28" s="412">
        <f ca="1">MAX(M16+I27-K16-G27,0)</f>
        <v>0</v>
      </c>
      <c r="N28" s="413">
        <f ca="1">MAX(N16+J27-L16-H27,0)</f>
        <v>0</v>
      </c>
    </row>
    <row r="29" spans="1:14" s="18" customFormat="1">
      <c r="E29" s="362"/>
      <c r="F29" s="362"/>
    </row>
    <row r="30" spans="1:14" s="18" customFormat="1">
      <c r="A30" s="244" t="s">
        <v>249</v>
      </c>
      <c r="E30" s="362"/>
      <c r="F30" s="362"/>
    </row>
    <row r="31" spans="1:14" s="18" customFormat="1">
      <c r="A31" s="244" t="str">
        <f>"- Ngày mở sổ: "&amp; TEXT(VLOOKUP($H$9,'341'!$B$5:$P$33,2,0),"dd/MM/yy")</f>
        <v>- Ngày mở sổ: 13/05/16</v>
      </c>
      <c r="E31" s="362"/>
      <c r="F31" s="362"/>
    </row>
    <row r="32" spans="1:14" s="18" customFormat="1">
      <c r="E32" s="362"/>
      <c r="F32" s="362"/>
      <c r="L32" s="362" t="s">
        <v>250</v>
      </c>
    </row>
    <row r="33" spans="2:12" s="18" customFormat="1">
      <c r="C33" s="362" t="s">
        <v>11</v>
      </c>
      <c r="E33" s="362"/>
      <c r="F33" s="362"/>
      <c r="L33" s="362" t="s">
        <v>12</v>
      </c>
    </row>
    <row r="34" spans="2:12" s="18" customFormat="1">
      <c r="C34" s="362" t="s">
        <v>13</v>
      </c>
      <c r="E34" s="362"/>
      <c r="F34" s="362"/>
      <c r="L34" s="362" t="s">
        <v>13</v>
      </c>
    </row>
    <row r="35" spans="2:12" s="18" customFormat="1">
      <c r="E35" s="362"/>
      <c r="F35" s="362"/>
    </row>
    <row r="36" spans="2:12" s="18" customFormat="1">
      <c r="E36" s="362"/>
      <c r="F36" s="362"/>
    </row>
    <row r="37" spans="2:12" s="245" customFormat="1"/>
    <row r="38" spans="2:12" s="245" customFormat="1"/>
    <row r="39" spans="2:12" s="245" customFormat="1"/>
    <row r="40" spans="2:12" s="245" customFormat="1"/>
    <row r="41" spans="2:12" s="245" customFormat="1" ht="15">
      <c r="B41" s="414"/>
      <c r="C41" s="415" t="s">
        <v>251</v>
      </c>
      <c r="D41" s="414"/>
    </row>
    <row r="42" spans="2:12" s="245" customFormat="1"/>
    <row r="43" spans="2:12" s="245" customFormat="1"/>
    <row r="44" spans="2:12" s="245" customFormat="1"/>
    <row r="45" spans="2:12" s="245" customFormat="1"/>
    <row r="46" spans="2:12" s="245" customFormat="1"/>
    <row r="47" spans="2:12" s="245" customFormat="1"/>
    <row r="48" spans="2:12" s="245" customFormat="1"/>
    <row r="49" s="24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19" t="s">
        <v>306</v>
      </c>
      <c r="B5" s="1319"/>
      <c r="C5" s="1319"/>
      <c r="D5" s="1319"/>
      <c r="E5" s="1319"/>
      <c r="F5" s="1319"/>
      <c r="G5" s="1319"/>
      <c r="H5" s="1319"/>
      <c r="I5" s="1319"/>
      <c r="J5" s="1319"/>
      <c r="K5" s="1319"/>
      <c r="L5" s="1319"/>
      <c r="M5" s="1319"/>
      <c r="N5" s="1319"/>
    </row>
    <row r="6" spans="1:14">
      <c r="A6" s="1320" t="s">
        <v>257</v>
      </c>
      <c r="B6" s="1320" t="s">
        <v>307</v>
      </c>
      <c r="C6" s="1320"/>
      <c r="D6" s="1320"/>
      <c r="E6" s="1320"/>
      <c r="F6" s="1320"/>
      <c r="G6" s="1320"/>
      <c r="H6" s="1320"/>
      <c r="I6" s="1320"/>
      <c r="J6" s="1320"/>
      <c r="K6" s="1320"/>
      <c r="L6" s="1320"/>
      <c r="M6" s="1320"/>
      <c r="N6" s="1320"/>
    </row>
    <row r="7" spans="1:14">
      <c r="C7" s="1321"/>
      <c r="D7" s="1321"/>
      <c r="E7" s="1321"/>
      <c r="F7" s="1321"/>
      <c r="G7" s="1321"/>
      <c r="H7" s="1321"/>
      <c r="I7" s="1321"/>
      <c r="J7" s="1321"/>
      <c r="K7" s="1321"/>
      <c r="L7" s="1321"/>
      <c r="M7" s="1321"/>
      <c r="N7" s="1321"/>
    </row>
    <row r="8" spans="1:14" ht="15.75" customHeight="1">
      <c r="A8" s="1313" t="s">
        <v>22</v>
      </c>
      <c r="B8" s="1322" t="s">
        <v>1</v>
      </c>
      <c r="C8" s="1323"/>
      <c r="D8" s="1313" t="s">
        <v>0</v>
      </c>
      <c r="E8" s="1313" t="s">
        <v>16</v>
      </c>
      <c r="F8" s="1312" t="s">
        <v>23</v>
      </c>
      <c r="G8" s="1312"/>
      <c r="H8" s="1312"/>
      <c r="I8" s="1312"/>
      <c r="J8" s="1312"/>
      <c r="K8" s="1312"/>
      <c r="L8" s="1312" t="s">
        <v>33</v>
      </c>
      <c r="M8" s="1312"/>
      <c r="N8" s="1312"/>
    </row>
    <row r="9" spans="1:14" ht="15.75" customHeight="1">
      <c r="A9" s="1313"/>
      <c r="B9" s="1324"/>
      <c r="C9" s="1325"/>
      <c r="D9" s="1313"/>
      <c r="E9" s="1313"/>
      <c r="F9" s="1312" t="s">
        <v>308</v>
      </c>
      <c r="G9" s="1312"/>
      <c r="H9" s="1312"/>
      <c r="I9" s="1312" t="s">
        <v>309</v>
      </c>
      <c r="J9" s="1312"/>
      <c r="K9" s="1312"/>
      <c r="L9" s="1313" t="s">
        <v>310</v>
      </c>
      <c r="M9" s="1313" t="s">
        <v>311</v>
      </c>
      <c r="N9" s="1313" t="s">
        <v>312</v>
      </c>
    </row>
    <row r="10" spans="1:14" ht="15.75" customHeight="1">
      <c r="A10" s="1313"/>
      <c r="B10" s="1315" t="s">
        <v>17</v>
      </c>
      <c r="C10" s="1315" t="s">
        <v>34</v>
      </c>
      <c r="D10" s="1313"/>
      <c r="E10" s="1313"/>
      <c r="F10" s="1317" t="s">
        <v>310</v>
      </c>
      <c r="G10" s="1317" t="s">
        <v>311</v>
      </c>
      <c r="H10" s="1317" t="s">
        <v>312</v>
      </c>
      <c r="I10" s="1317" t="s">
        <v>310</v>
      </c>
      <c r="J10" s="1317" t="s">
        <v>311</v>
      </c>
      <c r="K10" s="1317" t="s">
        <v>312</v>
      </c>
      <c r="L10" s="1314"/>
      <c r="M10" s="1314"/>
      <c r="N10" s="1314"/>
    </row>
    <row r="11" spans="1:14">
      <c r="A11" s="1313"/>
      <c r="B11" s="1316"/>
      <c r="C11" s="1316"/>
      <c r="D11" s="1313"/>
      <c r="E11" s="1313"/>
      <c r="F11" s="1318"/>
      <c r="G11" s="1318"/>
      <c r="H11" s="1318"/>
      <c r="I11" s="1318"/>
      <c r="J11" s="1318"/>
      <c r="K11" s="1318"/>
      <c r="L11" s="1314"/>
      <c r="M11" s="1314"/>
      <c r="N11" s="1314"/>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11" t="s">
        <v>316</v>
      </c>
      <c r="F22" s="1311"/>
      <c r="G22" s="1311"/>
      <c r="H22" s="1311"/>
      <c r="I22" s="1311"/>
      <c r="J22" s="1311"/>
      <c r="K22" s="1311"/>
      <c r="L22" s="1311"/>
      <c r="M22" s="1311"/>
      <c r="N22" s="1311"/>
    </row>
    <row r="23" spans="1:14">
      <c r="A23" s="1311" t="s">
        <v>11</v>
      </c>
      <c r="B23" s="1311"/>
      <c r="C23" s="1311"/>
      <c r="D23" s="1311"/>
      <c r="E23" s="1311" t="s">
        <v>12</v>
      </c>
      <c r="F23" s="1311"/>
      <c r="G23" s="1311"/>
      <c r="H23" s="1311"/>
      <c r="I23" s="1311"/>
      <c r="J23" s="1311"/>
      <c r="K23" s="1311"/>
      <c r="L23" s="1311"/>
      <c r="M23" s="1311"/>
      <c r="N23" s="1311"/>
    </row>
    <row r="24" spans="1:14">
      <c r="A24" s="1311" t="s">
        <v>13</v>
      </c>
      <c r="B24" s="1311"/>
      <c r="C24" s="1311"/>
      <c r="D24" s="1311"/>
      <c r="E24" s="1311" t="s">
        <v>13</v>
      </c>
      <c r="F24" s="1311"/>
      <c r="G24" s="1311"/>
      <c r="H24" s="1311"/>
      <c r="I24" s="1311"/>
      <c r="J24" s="1311"/>
      <c r="K24" s="1311"/>
      <c r="L24" s="1311"/>
      <c r="M24" s="1311"/>
      <c r="N24" s="1311"/>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sheetPr>
    <tabColor indexed="28"/>
  </sheetPr>
  <dimension ref="A1:T111"/>
  <sheetViews>
    <sheetView topLeftCell="A6" workbookViewId="0">
      <pane xSplit="3" ySplit="6" topLeftCell="D57" activePane="bottomRight" state="frozen"/>
      <selection activeCell="C33" sqref="C33"/>
      <selection pane="topRight" activeCell="C33" sqref="C33"/>
      <selection pane="bottomLeft" activeCell="C33" sqref="C33"/>
      <selection pane="bottomRight" activeCell="J64" sqref="J64:L66"/>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291" t="s">
        <v>318</v>
      </c>
      <c r="I1" s="1291"/>
      <c r="J1" s="1291"/>
      <c r="K1" s="1291"/>
      <c r="L1" s="1291"/>
      <c r="M1" s="493"/>
      <c r="N1" s="241"/>
      <c r="O1" s="456"/>
    </row>
    <row r="2" spans="1:19" s="458" customFormat="1" ht="14.25" customHeight="1">
      <c r="B2" s="494" t="s">
        <v>319</v>
      </c>
      <c r="C2" s="495"/>
      <c r="D2" s="495"/>
      <c r="E2" s="495"/>
      <c r="F2" s="495"/>
      <c r="G2" s="495"/>
      <c r="H2" s="1292" t="s">
        <v>320</v>
      </c>
      <c r="I2" s="1292"/>
      <c r="J2" s="1292"/>
      <c r="K2" s="1292"/>
      <c r="L2" s="1292"/>
      <c r="M2" s="496"/>
      <c r="N2" s="242"/>
      <c r="O2" s="457"/>
    </row>
    <row r="3" spans="1:19" s="458" customFormat="1" ht="14.25" customHeight="1">
      <c r="B3" s="495"/>
      <c r="C3" s="495"/>
      <c r="D3" s="495"/>
      <c r="E3" s="495"/>
      <c r="F3" s="495"/>
      <c r="G3" s="495"/>
      <c r="H3" s="1327" t="s">
        <v>321</v>
      </c>
      <c r="I3" s="1327"/>
      <c r="J3" s="1327"/>
      <c r="K3" s="1327"/>
      <c r="L3" s="1327"/>
      <c r="M3" s="497"/>
      <c r="N3" s="498"/>
      <c r="O3" s="457"/>
    </row>
    <row r="4" spans="1:19" s="499" customFormat="1" ht="27.75" customHeight="1">
      <c r="B4" s="1328" t="s">
        <v>322</v>
      </c>
      <c r="C4" s="1328"/>
      <c r="D4" s="1328"/>
      <c r="E4" s="1328"/>
      <c r="F4" s="1328"/>
      <c r="G4" s="1328"/>
      <c r="H4" s="1328"/>
      <c r="I4" s="1328"/>
      <c r="J4" s="1328"/>
      <c r="K4" s="1328"/>
      <c r="L4" s="1328"/>
      <c r="M4" s="500"/>
    </row>
    <row r="5" spans="1:19" s="499" customFormat="1" ht="15" customHeight="1">
      <c r="B5" s="1326" t="s">
        <v>323</v>
      </c>
      <c r="C5" s="1326"/>
      <c r="D5" s="1326"/>
      <c r="E5" s="1326"/>
      <c r="F5" s="1326"/>
      <c r="G5" s="1326"/>
      <c r="H5" s="1326"/>
      <c r="I5" s="1326"/>
      <c r="J5" s="1326"/>
      <c r="K5" s="1326"/>
      <c r="L5" s="1326"/>
      <c r="M5" s="500"/>
    </row>
    <row r="6" spans="1:19" s="499" customFormat="1" ht="12.75" hidden="1" customHeight="1">
      <c r="B6" s="1326" t="s">
        <v>324</v>
      </c>
      <c r="C6" s="1326"/>
      <c r="D6" s="1326"/>
      <c r="E6" s="1326"/>
      <c r="F6" s="1326"/>
      <c r="G6" s="1326"/>
      <c r="H6" s="1326"/>
      <c r="I6" s="1326"/>
      <c r="J6" s="1326"/>
      <c r="K6" s="1326"/>
      <c r="L6" s="1326"/>
      <c r="M6" s="500"/>
    </row>
    <row r="7" spans="1:19" s="501" customFormat="1" ht="24" hidden="1" customHeight="1">
      <c r="C7" s="1338" t="s">
        <v>325</v>
      </c>
      <c r="D7" s="1338"/>
      <c r="E7" s="1338"/>
      <c r="F7" s="1338"/>
      <c r="G7" s="1338"/>
      <c r="H7" s="1338"/>
      <c r="I7" s="1338"/>
      <c r="J7" s="1338"/>
      <c r="K7" s="1338"/>
      <c r="L7" s="1338"/>
      <c r="M7" s="502"/>
    </row>
    <row r="8" spans="1:19" ht="20.25" customHeight="1">
      <c r="B8" s="1329" t="s">
        <v>37</v>
      </c>
      <c r="C8" s="1330" t="s">
        <v>326</v>
      </c>
      <c r="D8" s="1331" t="s">
        <v>327</v>
      </c>
      <c r="E8" s="1333" t="s">
        <v>168</v>
      </c>
      <c r="F8" s="1333"/>
      <c r="G8" s="1333"/>
      <c r="H8" s="1333"/>
      <c r="I8" s="1333"/>
      <c r="J8" s="1333"/>
      <c r="K8" s="1333"/>
      <c r="L8" s="1333"/>
      <c r="N8" s="1334" t="s">
        <v>328</v>
      </c>
      <c r="O8" s="1334" t="s">
        <v>329</v>
      </c>
      <c r="P8" s="1334" t="s">
        <v>330</v>
      </c>
      <c r="Q8" s="1334" t="s">
        <v>331</v>
      </c>
      <c r="R8" s="1334" t="s">
        <v>332</v>
      </c>
      <c r="S8" s="1334" t="s">
        <v>333</v>
      </c>
    </row>
    <row r="9" spans="1:19" ht="20.25" customHeight="1">
      <c r="B9" s="1329"/>
      <c r="C9" s="1330"/>
      <c r="D9" s="1332"/>
      <c r="E9" s="1333" t="s">
        <v>334</v>
      </c>
      <c r="F9" s="1333"/>
      <c r="G9" s="1337" t="s">
        <v>335</v>
      </c>
      <c r="H9" s="1337"/>
      <c r="I9" s="1337" t="s">
        <v>336</v>
      </c>
      <c r="J9" s="1337"/>
      <c r="K9" s="1337" t="s">
        <v>337</v>
      </c>
      <c r="L9" s="1337"/>
      <c r="N9" s="1335"/>
      <c r="O9" s="1335"/>
      <c r="P9" s="1335"/>
      <c r="Q9" s="1335"/>
      <c r="R9" s="1335"/>
      <c r="S9" s="1335"/>
    </row>
    <row r="10" spans="1:19" ht="20.25" hidden="1" customHeight="1">
      <c r="B10" s="1329"/>
      <c r="C10" s="1330"/>
      <c r="D10" s="505"/>
      <c r="E10" s="506" t="s">
        <v>338</v>
      </c>
      <c r="F10" s="506" t="s">
        <v>339</v>
      </c>
      <c r="G10" s="506" t="s">
        <v>338</v>
      </c>
      <c r="H10" s="506" t="s">
        <v>339</v>
      </c>
      <c r="I10" s="506" t="s">
        <v>338</v>
      </c>
      <c r="J10" s="506" t="s">
        <v>339</v>
      </c>
      <c r="K10" s="506" t="s">
        <v>338</v>
      </c>
      <c r="L10" s="506" t="s">
        <v>339</v>
      </c>
      <c r="N10" s="1336"/>
      <c r="O10" s="1336"/>
      <c r="P10" s="1336"/>
      <c r="Q10" s="1336"/>
      <c r="R10" s="507"/>
      <c r="S10" s="1336"/>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1350</v>
      </c>
      <c r="H15" s="25">
        <f t="array" ref="H15">SUM(IF("1522"&amp;C15=KHN&amp;MH,TH))</f>
        <v>25895413</v>
      </c>
      <c r="I15" s="25">
        <f t="array" ref="I15">SUM(IF("1522"&amp;C15=KHC&amp;MH,SL))</f>
        <v>345</v>
      </c>
      <c r="J15" s="25">
        <f t="array" ref="J15">SUM(IF("1522"&amp;C15=KHC&amp;MH,TH))</f>
        <v>7583028</v>
      </c>
      <c r="K15" s="8">
        <f t="shared" si="0"/>
        <v>1500</v>
      </c>
      <c r="L15" s="8">
        <f t="shared" si="0"/>
        <v>29192382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656</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1427</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2486</v>
      </c>
      <c r="H30" s="25">
        <f t="array" ref="H30">SUM(IF("1522"&amp;C30=KHN&amp;MH,TH))</f>
        <v>30313500</v>
      </c>
      <c r="I30" s="25">
        <f t="array" ref="I30">SUM(IF("1522"&amp;C30=KHC&amp;MH,SL))</f>
        <v>2165</v>
      </c>
      <c r="J30" s="25">
        <f t="array" ref="J30">SUM(IF("1522"&amp;C30=KHC&amp;MH,TH))</f>
        <v>25980000</v>
      </c>
      <c r="K30" s="529">
        <f t="shared" ref="K30:L35" si="4">E30+G30-I30</f>
        <v>321</v>
      </c>
      <c r="L30" s="529">
        <f t="shared" si="4"/>
        <v>4333500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400</v>
      </c>
      <c r="H32" s="25">
        <f t="array" ref="H32">SUM(IF("1522"&amp;C32=KHN&amp;MH,TH))</f>
        <v>6800000</v>
      </c>
      <c r="I32" s="25">
        <f t="array" ref="I32">SUM(IF("1522"&amp;C32=KHC&amp;MH,SL))</f>
        <v>400</v>
      </c>
      <c r="J32" s="25">
        <f t="array" ref="J32">SUM(IF("1522"&amp;C32=KHC&amp;MH,TH))</f>
        <v>6800000</v>
      </c>
      <c r="K32" s="528">
        <f t="shared" si="4"/>
        <v>0</v>
      </c>
      <c r="L32" s="528">
        <f t="shared" si="4"/>
        <v>0</v>
      </c>
      <c r="M32" s="516"/>
      <c r="N32" s="519" t="s">
        <v>403</v>
      </c>
      <c r="O32" s="521" t="s">
        <v>400</v>
      </c>
      <c r="P32" s="518">
        <v>370054438</v>
      </c>
      <c r="Q32" s="518" t="s">
        <v>401</v>
      </c>
      <c r="R32" s="518"/>
      <c r="S32" s="518" t="s">
        <v>345</v>
      </c>
    </row>
    <row r="33" spans="1:19" ht="18.75" customHeight="1">
      <c r="A33" s="512" t="str">
        <f t="shared" si="1"/>
        <v>VL</v>
      </c>
      <c r="B33" s="513">
        <f t="shared" si="2"/>
        <v>22</v>
      </c>
      <c r="C33" s="526" t="s">
        <v>1102</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36459</v>
      </c>
      <c r="H37" s="13">
        <f t="shared" si="5"/>
        <v>518478928</v>
      </c>
      <c r="I37" s="13">
        <f t="shared" si="5"/>
        <v>20567</v>
      </c>
      <c r="J37" s="13">
        <f t="shared" si="5"/>
        <v>228252002</v>
      </c>
      <c r="K37" s="13">
        <f t="shared" si="5"/>
        <v>513568.7</v>
      </c>
      <c r="L37" s="13">
        <f t="shared" si="5"/>
        <v>816746813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-26057476</v>
      </c>
      <c r="H38" s="968">
        <f>CDPS!E22</f>
        <v>544536404</v>
      </c>
      <c r="I38" s="968">
        <f>J37-J38</f>
        <v>0</v>
      </c>
      <c r="J38" s="968">
        <f>CDPS!F22</f>
        <v>228252002</v>
      </c>
      <c r="K38" s="968">
        <f>L37-L38</f>
        <v>-26057476</v>
      </c>
      <c r="L38" s="968">
        <f>CDPS!G22</f>
        <v>842804289</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686</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687</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0</v>
      </c>
      <c r="J46" s="968">
        <f>CDPS!F21</f>
        <v>6429000000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60"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9"/>
        <v>0</v>
      </c>
      <c r="L54" s="8">
        <f t="shared" si="9"/>
        <v>889417147</v>
      </c>
      <c r="M54" s="516"/>
      <c r="N54" s="519" t="s">
        <v>445</v>
      </c>
      <c r="O54" s="521" t="s">
        <v>430</v>
      </c>
      <c r="P54" s="518">
        <v>271642418</v>
      </c>
      <c r="Q54" s="518" t="s">
        <v>430</v>
      </c>
      <c r="R54" s="518"/>
      <c r="S54" s="518" t="s">
        <v>345</v>
      </c>
    </row>
    <row r="55" spans="1:20" ht="18.75" customHeight="1">
      <c r="A55" s="512" t="str">
        <f t="shared" ref="A55:A58" si="12">IF(B55&lt;&gt;"","TP","")</f>
        <v>TP</v>
      </c>
      <c r="B55" s="539">
        <f t="shared" ref="B55:B58" si="13">IF(C55&lt;&gt;"",B54+1,"")</f>
        <v>9</v>
      </c>
      <c r="C55" s="519" t="s">
        <v>1541</v>
      </c>
      <c r="D55" s="538" t="s">
        <v>341</v>
      </c>
      <c r="E55" s="8">
        <v>0</v>
      </c>
      <c r="F55" s="8">
        <v>0</v>
      </c>
      <c r="G55" s="25">
        <f t="array" ref="G55">SUM(IF("155"&amp;C55=KHN&amp;MH,SL))</f>
        <v>0</v>
      </c>
      <c r="H55" s="25">
        <f t="array" ref="H55">SUM(IF("155"&amp;C55=KHN&amp;MH,TH))</f>
        <v>0</v>
      </c>
      <c r="I55" s="25">
        <f t="array" ref="I55">SUM(IF("155"&amp;C55=KHC&amp;MH,SL))</f>
        <v>0</v>
      </c>
      <c r="J55" s="25">
        <f t="array" ref="J55">SUM(IF("155"&amp;C55=KHC&amp;MH,TH))</f>
        <v>0</v>
      </c>
      <c r="K55" s="8">
        <f t="shared" ref="K55:K58" si="14">E55+G55-I55</f>
        <v>0</v>
      </c>
      <c r="L55" s="8">
        <f t="shared" ref="L55:L58" si="15">F55+H55-J55</f>
        <v>0</v>
      </c>
      <c r="M55" s="516"/>
      <c r="N55" s="525" t="s">
        <v>447</v>
      </c>
      <c r="O55" s="521" t="s">
        <v>430</v>
      </c>
      <c r="P55" s="518">
        <v>273017840</v>
      </c>
      <c r="Q55" s="518" t="s">
        <v>448</v>
      </c>
      <c r="R55" s="518"/>
      <c r="S55" s="518"/>
    </row>
    <row r="56" spans="1:20" ht="18.75" customHeight="1">
      <c r="A56" s="512" t="str">
        <f t="shared" si="12"/>
        <v>TP</v>
      </c>
      <c r="B56" s="539">
        <f t="shared" si="13"/>
        <v>10</v>
      </c>
      <c r="C56" s="519" t="s">
        <v>1542</v>
      </c>
      <c r="D56" s="538" t="s">
        <v>341</v>
      </c>
      <c r="E56" s="8">
        <v>0</v>
      </c>
      <c r="F56" s="8">
        <v>0</v>
      </c>
      <c r="G56" s="25">
        <f t="array" ref="G56">SUM(IF("155"&amp;C56=KHN&amp;MH,SL))</f>
        <v>0</v>
      </c>
      <c r="H56" s="25">
        <f t="array" ref="H56">SUM(IF("155"&amp;C56=KHN&amp;MH,TH))</f>
        <v>0</v>
      </c>
      <c r="I56" s="25">
        <f t="array" ref="I56">SUM(IF("155"&amp;C56=KHC&amp;MH,SL))</f>
        <v>0</v>
      </c>
      <c r="J56" s="25">
        <f t="array" ref="J56">SUM(IF("155"&amp;C56=KHC&amp;MH,TH))</f>
        <v>0</v>
      </c>
      <c r="K56" s="8">
        <f t="shared" si="14"/>
        <v>0</v>
      </c>
      <c r="L56" s="8">
        <f t="shared" si="15"/>
        <v>0</v>
      </c>
      <c r="M56" s="516"/>
      <c r="N56" s="519" t="s">
        <v>450</v>
      </c>
      <c r="O56" s="519"/>
      <c r="P56" s="519"/>
      <c r="Q56" s="519"/>
      <c r="R56" s="519"/>
      <c r="S56" s="518"/>
    </row>
    <row r="57" spans="1:20" ht="18.75" customHeight="1">
      <c r="A57" s="512" t="str">
        <f t="shared" si="12"/>
        <v>TP</v>
      </c>
      <c r="B57" s="539">
        <f t="shared" si="13"/>
        <v>11</v>
      </c>
      <c r="C57" s="519" t="s">
        <v>1543</v>
      </c>
      <c r="D57" s="538" t="s">
        <v>341</v>
      </c>
      <c r="E57" s="8">
        <v>0</v>
      </c>
      <c r="F57" s="8">
        <v>0</v>
      </c>
      <c r="G57" s="25">
        <f t="array" ref="G57">SUM(IF("155"&amp;C57=KHN&amp;MH,SL))</f>
        <v>0</v>
      </c>
      <c r="H57" s="25">
        <f t="array" ref="H57">SUM(IF("155"&amp;C57=KHN&amp;MH,TH))</f>
        <v>0</v>
      </c>
      <c r="I57" s="25">
        <f t="array" ref="I57">SUM(IF("155"&amp;C57=KHC&amp;MH,SL))</f>
        <v>0</v>
      </c>
      <c r="J57" s="25">
        <f t="array" ref="J57">SUM(IF("155"&amp;C57=KHC&amp;MH,TH))</f>
        <v>0</v>
      </c>
      <c r="K57" s="8">
        <f t="shared" si="14"/>
        <v>0</v>
      </c>
      <c r="L57" s="8">
        <f t="shared" si="15"/>
        <v>0</v>
      </c>
      <c r="M57" s="516"/>
      <c r="N57" s="525"/>
      <c r="O57" s="521"/>
      <c r="P57" s="518"/>
      <c r="Q57" s="518"/>
      <c r="R57" s="518"/>
      <c r="S57" s="518"/>
    </row>
    <row r="58" spans="1:20" ht="18.75" customHeight="1">
      <c r="A58" s="512" t="str">
        <f t="shared" si="12"/>
        <v/>
      </c>
      <c r="B58" s="539" t="str">
        <f t="shared" si="13"/>
        <v/>
      </c>
      <c r="C58" s="519"/>
      <c r="D58" s="538" t="s">
        <v>341</v>
      </c>
      <c r="E58" s="8">
        <v>0</v>
      </c>
      <c r="F58" s="8">
        <v>0</v>
      </c>
      <c r="G58" s="25">
        <f t="array" ref="G58">SUM(IF("155"&amp;C58=KHN&amp;MH,SL))</f>
        <v>0</v>
      </c>
      <c r="H58" s="25">
        <f t="array" ref="H58">SUM(IF("155"&amp;C58=KHN&amp;MH,TH))</f>
        <v>0</v>
      </c>
      <c r="I58" s="25">
        <f t="array" ref="I58">SUM(IF("155"&amp;C58=KHC&amp;MH,SL))</f>
        <v>0</v>
      </c>
      <c r="J58" s="25">
        <f t="array" ref="J58">SUM(IF("155"&amp;C58=KHC&amp;MH,TH))</f>
        <v>0</v>
      </c>
      <c r="K58" s="8">
        <f t="shared" si="14"/>
        <v>0</v>
      </c>
      <c r="L58" s="8">
        <f t="shared" si="15"/>
        <v>0</v>
      </c>
      <c r="M58" s="516"/>
      <c r="N58" s="525"/>
      <c r="O58" s="521"/>
      <c r="P58" s="518"/>
      <c r="Q58" s="518"/>
      <c r="R58" s="518"/>
      <c r="S58" s="518"/>
    </row>
    <row r="59" spans="1:20" ht="18.75" customHeight="1">
      <c r="A59" s="512" t="str">
        <f t="shared" si="10"/>
        <v/>
      </c>
      <c r="B59" s="539" t="str">
        <f>IF(C59&lt;&gt;"",#REF!+1,"")</f>
        <v/>
      </c>
      <c r="C59" s="543"/>
      <c r="D59" s="535"/>
      <c r="E59" s="8"/>
      <c r="F59" s="8"/>
      <c r="G59" s="536"/>
      <c r="H59" s="536"/>
      <c r="I59" s="536"/>
      <c r="J59" s="536"/>
      <c r="K59" s="536"/>
      <c r="L59" s="536"/>
      <c r="M59" s="516"/>
      <c r="N59" s="525"/>
      <c r="O59" s="521"/>
      <c r="P59" s="518"/>
      <c r="Q59" s="518"/>
      <c r="R59" s="518"/>
      <c r="S59" s="518" t="s">
        <v>345</v>
      </c>
    </row>
    <row r="60" spans="1:20" ht="19.5" customHeight="1">
      <c r="A60" s="512" t="str">
        <f t="shared" si="10"/>
        <v/>
      </c>
      <c r="B60" s="509"/>
      <c r="C60" s="533" t="s">
        <v>456</v>
      </c>
      <c r="D60" s="509"/>
      <c r="E60" s="13">
        <f t="shared" ref="E60:L60" si="16">SUM(E47:E59)</f>
        <v>73584</v>
      </c>
      <c r="F60" s="13">
        <f t="shared" si="16"/>
        <v>9386323824</v>
      </c>
      <c r="G60" s="13">
        <f t="shared" si="16"/>
        <v>58200</v>
      </c>
      <c r="H60" s="13">
        <f t="shared" si="16"/>
        <v>8885096235</v>
      </c>
      <c r="I60" s="13">
        <f t="shared" si="16"/>
        <v>58200</v>
      </c>
      <c r="J60" s="13">
        <f t="shared" si="16"/>
        <v>7995679088</v>
      </c>
      <c r="K60" s="13">
        <f t="shared" si="16"/>
        <v>73584</v>
      </c>
      <c r="L60" s="13">
        <f t="shared" si="16"/>
        <v>10275740971</v>
      </c>
      <c r="M60" s="516"/>
      <c r="N60" s="519"/>
      <c r="O60" s="519"/>
      <c r="P60" s="519"/>
      <c r="Q60" s="519"/>
      <c r="R60" s="519"/>
      <c r="S60" s="519"/>
    </row>
    <row r="61" spans="1:20" ht="18.75" customHeight="1">
      <c r="A61" s="512" t="str">
        <f>IF(B61&lt;&gt;"","TP","")</f>
        <v/>
      </c>
      <c r="B61" s="967"/>
      <c r="C61" s="967"/>
      <c r="D61" s="966"/>
      <c r="E61" s="968">
        <f>F60-F61</f>
        <v>0</v>
      </c>
      <c r="F61" s="968">
        <f>CDPS!C26</f>
        <v>9386323824</v>
      </c>
      <c r="G61" s="968">
        <f>H60-H61</f>
        <v>0</v>
      </c>
      <c r="H61" s="968">
        <f>CDPS!E26</f>
        <v>8885096235</v>
      </c>
      <c r="I61" s="968">
        <f>J60-J61</f>
        <v>0</v>
      </c>
      <c r="J61" s="968">
        <f>CDPS!F26</f>
        <v>7995679088</v>
      </c>
      <c r="K61" s="968">
        <f>L60-L61</f>
        <v>0</v>
      </c>
      <c r="L61" s="968">
        <f>CDPS!G26</f>
        <v>10275740971</v>
      </c>
      <c r="M61" s="540"/>
      <c r="N61" s="540"/>
      <c r="O61" s="540"/>
      <c r="P61" s="540"/>
      <c r="Q61" s="540"/>
      <c r="R61" s="540"/>
      <c r="S61" s="540"/>
      <c r="T61" s="540"/>
    </row>
    <row r="62" spans="1:20" ht="18.75" customHeight="1">
      <c r="M62" s="503"/>
      <c r="P62" s="540"/>
      <c r="Q62" s="540"/>
      <c r="R62" s="540"/>
      <c r="S62" s="540"/>
      <c r="T62" s="540"/>
    </row>
    <row r="63" spans="1:20" ht="19.5" customHeight="1">
      <c r="M63" s="503"/>
      <c r="P63" s="540"/>
      <c r="Q63" s="540"/>
      <c r="R63" s="540"/>
      <c r="S63" s="540"/>
    </row>
    <row r="64" spans="1:20" ht="19.5" customHeight="1">
      <c r="C64" s="1339"/>
      <c r="D64" s="1339"/>
      <c r="E64" s="1339"/>
      <c r="F64" s="545"/>
      <c r="G64" s="545"/>
      <c r="H64" s="545"/>
      <c r="I64" s="545"/>
      <c r="J64" s="1339" t="s">
        <v>460</v>
      </c>
      <c r="K64" s="1339"/>
      <c r="L64" s="1339"/>
      <c r="M64" s="503"/>
      <c r="Q64" s="541"/>
      <c r="R64" s="541"/>
      <c r="S64" s="541"/>
    </row>
    <row r="65" spans="3:19" ht="19.5" customHeight="1">
      <c r="C65" s="546" t="s">
        <v>11</v>
      </c>
      <c r="D65" s="546"/>
      <c r="E65" s="546"/>
      <c r="F65" s="1339" t="s">
        <v>12</v>
      </c>
      <c r="G65" s="1339"/>
      <c r="H65" s="1339"/>
      <c r="I65" s="545"/>
      <c r="J65" s="1339" t="s">
        <v>131</v>
      </c>
      <c r="K65" s="1339"/>
      <c r="L65" s="1339"/>
      <c r="M65" s="503"/>
      <c r="Q65" s="514" t="s">
        <v>442</v>
      </c>
      <c r="R65" s="514"/>
      <c r="S65" s="538">
        <v>4.5</v>
      </c>
    </row>
    <row r="66" spans="3:19" ht="19.5" customHeight="1">
      <c r="C66" s="546" t="s">
        <v>13</v>
      </c>
      <c r="D66" s="546" t="s">
        <v>463</v>
      </c>
      <c r="E66" s="546"/>
      <c r="F66" s="1339" t="s">
        <v>13</v>
      </c>
      <c r="G66" s="1339"/>
      <c r="H66" s="1339"/>
      <c r="I66" s="503"/>
      <c r="J66" s="1339" t="s">
        <v>161</v>
      </c>
      <c r="K66" s="1339"/>
      <c r="L66" s="1339"/>
      <c r="M66" s="503"/>
      <c r="Q66" s="519" t="s">
        <v>444</v>
      </c>
      <c r="R66" s="514"/>
      <c r="S66" s="538">
        <v>5</v>
      </c>
    </row>
    <row r="67" spans="3:19" ht="20.25" customHeight="1">
      <c r="M67" s="503"/>
      <c r="Q67" s="519" t="s">
        <v>446</v>
      </c>
      <c r="R67" s="514"/>
      <c r="S67" s="538">
        <v>5</v>
      </c>
    </row>
    <row r="68" spans="3:19" ht="20.25" customHeight="1">
      <c r="M68" s="503"/>
      <c r="Q68" s="519" t="s">
        <v>449</v>
      </c>
      <c r="R68" s="514"/>
      <c r="S68" s="538">
        <v>5</v>
      </c>
    </row>
    <row r="69" spans="3:19" ht="20.25" customHeight="1">
      <c r="M69" s="503"/>
      <c r="Q69" s="519" t="s">
        <v>451</v>
      </c>
      <c r="R69" s="519"/>
      <c r="S69" s="542"/>
    </row>
    <row r="70" spans="3:19" ht="20.25" customHeight="1">
      <c r="M70" s="503"/>
      <c r="Q70" s="519" t="s">
        <v>455</v>
      </c>
      <c r="R70" s="519"/>
      <c r="S70" s="542">
        <v>8</v>
      </c>
    </row>
    <row r="71" spans="3:19" ht="20.25" customHeight="1">
      <c r="M71" s="503"/>
      <c r="Q71" s="519" t="s">
        <v>457</v>
      </c>
      <c r="R71" s="519"/>
      <c r="S71" s="542">
        <v>9</v>
      </c>
    </row>
    <row r="72" spans="3:19" ht="20.25" customHeight="1">
      <c r="M72" s="503"/>
      <c r="Q72" s="519" t="s">
        <v>458</v>
      </c>
      <c r="R72" s="519"/>
      <c r="S72" s="542">
        <v>8</v>
      </c>
    </row>
    <row r="73" spans="3:19" ht="20.25" customHeight="1">
      <c r="M73" s="503"/>
      <c r="Q73" s="519" t="s">
        <v>454</v>
      </c>
      <c r="R73" s="519"/>
      <c r="S73" s="542">
        <v>8</v>
      </c>
    </row>
    <row r="74" spans="3:19" ht="19.5" customHeight="1">
      <c r="M74" s="503"/>
      <c r="Q74" s="519" t="s">
        <v>459</v>
      </c>
      <c r="R74" s="519"/>
      <c r="S74" s="542">
        <v>5</v>
      </c>
    </row>
    <row r="75" spans="3:19" ht="19.5" customHeight="1">
      <c r="M75" s="503"/>
      <c r="Q75" s="519" t="s">
        <v>461</v>
      </c>
      <c r="R75" s="519"/>
      <c r="S75" s="542">
        <v>5</v>
      </c>
    </row>
    <row r="76" spans="3:19" ht="19.5" customHeight="1">
      <c r="M76" s="503"/>
      <c r="Q76" s="519" t="s">
        <v>462</v>
      </c>
      <c r="R76" s="519"/>
      <c r="S76" s="542">
        <v>5</v>
      </c>
    </row>
    <row r="77" spans="3:19" ht="19.5" customHeight="1">
      <c r="M77" s="503"/>
      <c r="Q77" s="519" t="s">
        <v>464</v>
      </c>
      <c r="R77" s="519"/>
      <c r="S77" s="542">
        <v>4.5</v>
      </c>
    </row>
    <row r="78" spans="3:19" ht="19.5" customHeight="1">
      <c r="M78" s="503"/>
      <c r="Q78" s="519" t="s">
        <v>465</v>
      </c>
      <c r="R78" s="519"/>
      <c r="S78" s="542">
        <v>4.5</v>
      </c>
    </row>
    <row r="79" spans="3:19" ht="19.5" customHeight="1">
      <c r="M79" s="503"/>
      <c r="Q79" s="519" t="s">
        <v>452</v>
      </c>
      <c r="R79" s="519"/>
      <c r="S79" s="542">
        <v>11</v>
      </c>
    </row>
    <row r="80" spans="3:19" ht="19.5" customHeight="1">
      <c r="M80" s="503"/>
      <c r="Q80" s="519" t="s">
        <v>453</v>
      </c>
      <c r="R80" s="519"/>
      <c r="S80" s="542">
        <v>11</v>
      </c>
    </row>
    <row r="81" spans="13:19" ht="19.5" customHeight="1">
      <c r="M81" s="503"/>
      <c r="Q81" s="519" t="s">
        <v>466</v>
      </c>
      <c r="R81" s="519"/>
      <c r="S81" s="542">
        <v>4.4000000000000004</v>
      </c>
    </row>
    <row r="82" spans="13:19" ht="19.5" customHeight="1">
      <c r="M82" s="503"/>
      <c r="Q82" s="519" t="s">
        <v>467</v>
      </c>
      <c r="R82" s="519"/>
      <c r="S82" s="542">
        <v>4.5</v>
      </c>
    </row>
    <row r="83" spans="13:19" ht="19.5" customHeight="1">
      <c r="M83" s="503"/>
    </row>
    <row r="84" spans="13:19" ht="19.5" customHeight="1">
      <c r="M84" s="503"/>
    </row>
    <row r="85" spans="13:19" ht="19.5" customHeight="1">
      <c r="M85" s="503"/>
    </row>
    <row r="86" spans="13:19" ht="19.5" customHeight="1">
      <c r="M86" s="503"/>
    </row>
    <row r="87" spans="13:19" ht="19.5" customHeight="1">
      <c r="M87" s="503"/>
    </row>
    <row r="88" spans="13:19" ht="19.5" customHeight="1">
      <c r="M88" s="503"/>
    </row>
    <row r="89" spans="13:19" ht="19.5" customHeight="1">
      <c r="M89" s="503"/>
    </row>
    <row r="90" spans="13:19" ht="19.5" customHeight="1">
      <c r="M90" s="503"/>
    </row>
    <row r="91" spans="13:19" ht="19.5" customHeight="1">
      <c r="M91" s="503"/>
    </row>
    <row r="92" spans="13:19" ht="19.5" customHeight="1">
      <c r="N92" s="540"/>
    </row>
    <row r="93" spans="13:19">
      <c r="N93" s="540"/>
    </row>
    <row r="94" spans="13:19">
      <c r="N94" s="540"/>
    </row>
    <row r="95" spans="13:19">
      <c r="N95"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row r="108" spans="14:14">
      <c r="N108" s="540"/>
    </row>
    <row r="109" spans="14:14">
      <c r="N109" s="540"/>
    </row>
    <row r="110" spans="14:14">
      <c r="N110" s="540"/>
    </row>
    <row r="111" spans="14:14">
      <c r="N111" s="540"/>
    </row>
  </sheetData>
  <autoFilter ref="B11:O11"/>
  <mergeCells count="27">
    <mergeCell ref="F66:H66"/>
    <mergeCell ref="J66:L66"/>
    <mergeCell ref="S8:S10"/>
    <mergeCell ref="C64:E64"/>
    <mergeCell ref="J64:L64"/>
    <mergeCell ref="F65:H65"/>
    <mergeCell ref="J65:L65"/>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XUẤT KHO</v>
      </c>
      <c r="J5" s="552">
        <v>1</v>
      </c>
      <c r="K5" s="553"/>
      <c r="L5" s="554" t="s">
        <v>581</v>
      </c>
      <c r="M5" s="555"/>
      <c r="N5" s="556">
        <v>1</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2  tháng  1  năm  2016</v>
      </c>
      <c r="E6" s="559"/>
      <c r="M6" s="560"/>
      <c r="O6" s="561"/>
    </row>
    <row r="7" spans="1:16" s="557" customFormat="1" ht="12" customHeight="1">
      <c r="C7" s="562" t="str">
        <f xml:space="preserve"> "Số:"</f>
        <v>Số:</v>
      </c>
      <c r="D7" s="563" t="str">
        <f xml:space="preserve"> RIGHT($L$5,2)&amp;"/"&amp;LEFT($L$5,1)&amp;IF($N$5&gt;=10,$N$5,"0"&amp;$N$5)</f>
        <v>VL/X01</v>
      </c>
      <c r="G7" s="557" t="str">
        <f ca="1">"Nợ:  "&amp;IF(ROWS($1:1)&gt;COUNT(Dong10),"",OFFSET(TH!N$1,SMALL(Dong10,ROWS($1:1)),))</f>
        <v>Nợ:  154</v>
      </c>
      <c r="M7" s="560"/>
      <c r="O7" s="561"/>
    </row>
    <row r="8" spans="1:16" s="557" customFormat="1" ht="12" customHeight="1">
      <c r="D8" s="112"/>
      <c r="G8" s="557" t="str">
        <f ca="1">"Có:  "&amp;IF(ROWS($1:1)&gt;COUNT(Dong10),"",OFFSET(TH!O$1,SMALL(Dong10,ROWS($1:1)),))</f>
        <v>Có:  1522</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0"/>
    </row>
    <row r="10" spans="1:16" s="557" customFormat="1" ht="12" customHeight="1">
      <c r="A10" s="557" t="str">
        <f>+IF(LEFT($D$7,1)="N","Theo……………………………………....…………..số………….…………….……ngày……...tháng…......năm……....","Lý do xuất :                                 Xuất dùng ")</f>
        <v xml:space="preserve">Lý do xuất :                                 Xuất dùng </v>
      </c>
    </row>
    <row r="11" spans="1:16" s="557" customFormat="1" ht="12" customHeight="1">
      <c r="A11" s="557" t="str">
        <f>+IF(LEFT($D$7,1)="N","của………………………………………………………………………………………………………………………………....","Xuất tại kho (ngăn lô) :            Công ty TNHH Hải Sản An Lạc                      Địa điểm :  Đức Hòa, Long An.")</f>
        <v>Xuất tại kho (ngăn lô) :            Công ty TNHH Hải Sản An Lạc                      Địa điểm :  Đức Hòa, Long An.</v>
      </c>
    </row>
    <row r="12" spans="1:16" s="557" customFormat="1" ht="12" customHeight="1">
      <c r="A12" s="557" t="str">
        <f>+IF(LEFT("x",1)="N","Nhập tại kho:       Công ty TNHH Hải Sản An Lạc                      Địa điểm:  Đức Hòa, Long An."," ")</f>
        <v/>
      </c>
    </row>
    <row r="13" spans="1:16" s="557" customFormat="1" ht="2.25" customHeight="1"/>
    <row r="14" spans="1:16" s="557" customFormat="1" ht="11.25" customHeight="1">
      <c r="A14" s="1340" t="s">
        <v>37</v>
      </c>
      <c r="B14" s="1340" t="s">
        <v>469</v>
      </c>
      <c r="C14" s="1340" t="s">
        <v>470</v>
      </c>
      <c r="D14" s="1340" t="s">
        <v>327</v>
      </c>
      <c r="E14" s="1342" t="s">
        <v>471</v>
      </c>
      <c r="F14" s="1342"/>
      <c r="G14" s="1340" t="s">
        <v>472</v>
      </c>
      <c r="H14" s="1340" t="s">
        <v>473</v>
      </c>
    </row>
    <row r="15" spans="1:16" s="557" customFormat="1" ht="19.5" customHeight="1">
      <c r="A15" s="1341"/>
      <c r="B15" s="1341"/>
      <c r="C15" s="1341"/>
      <c r="D15" s="1341"/>
      <c r="E15" s="565" t="s">
        <v>474</v>
      </c>
      <c r="F15" s="565" t="str">
        <f>IF(LEFT($D$7,1)="N","Thực nhập","Thực xuất")</f>
        <v>Thực xuất</v>
      </c>
      <c r="G15" s="1341"/>
      <c r="H15" s="1341"/>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Bột ngọt</v>
      </c>
      <c r="C17" s="570"/>
      <c r="D17" s="571" t="str">
        <f ca="1">IF(ISNA(VLOOKUP(B17,NXT!$C$12:$D$59,2,0)),"",VLOOKUP(B17,NXT!$C$12:$D$59,2,0))</f>
        <v>kg</v>
      </c>
      <c r="E17" s="572"/>
      <c r="F17" s="573">
        <f ca="1">IF(ROWS($1:1)&gt;COUNT(Dong10),"",OFFSET(TH!I$1,SMALL(Dong10,ROWS($1:1)),))</f>
        <v>100</v>
      </c>
      <c r="G17" s="574">
        <f ca="1">IF(ROWS($1:1)&gt;COUNT(Dong10),"",OFFSET(TH!J$1,SMALL(Dong10,ROWS($1:1)),))</f>
        <v>35444.444444444445</v>
      </c>
      <c r="H17" s="572">
        <f t="shared" ref="H17:H23" ca="1" si="0">IF(F17&lt;&gt;"",ROUND(F17*G17,0),"")</f>
        <v>3544444</v>
      </c>
    </row>
    <row r="18" spans="1:8" s="557" customFormat="1" ht="12" customHeight="1">
      <c r="A18" s="568">
        <f t="shared" ref="A18:A23" ca="1" si="1">IF(B18="","",A17+1)</f>
        <v>2</v>
      </c>
      <c r="B18" s="569" t="str">
        <f ca="1">IF(ROWS($1:2)&gt;COUNT(Dong10),"",OFFSET(TH!F$1,SMALL(Dong10,ROWS($1:2)),))</f>
        <v>Bột biến tính</v>
      </c>
      <c r="C18" s="570"/>
      <c r="D18" s="571" t="str">
        <f ca="1">IF(ISNA(VLOOKUP(B18,NXT!$C$12:$D$59,2,0)),"",VLOOKUP(B18,NXT!$C$12:$D$59,2,0))</f>
        <v>kg</v>
      </c>
      <c r="E18" s="572"/>
      <c r="F18" s="573">
        <f ca="1">IF(ROWS($1:2)&gt;COUNT(Dong10),"",OFFSET(TH!I$1,SMALL(Dong10,ROWS($1:2)),))</f>
        <v>20</v>
      </c>
      <c r="G18" s="574">
        <f ca="1">IF(ROWS($1:2)&gt;COUNT(Dong10),"",OFFSET(TH!J$1,SMALL(Dong10,ROWS($1:2)),))</f>
        <v>46741.2</v>
      </c>
      <c r="H18" s="572">
        <f t="shared" ca="1" si="0"/>
        <v>934824</v>
      </c>
    </row>
    <row r="19" spans="1:8" s="557" customFormat="1" ht="12" customHeight="1">
      <c r="A19" s="568">
        <f t="shared" ca="1" si="1"/>
        <v>3</v>
      </c>
      <c r="B19" s="569" t="str">
        <f ca="1">IF(ROWS($1:3)&gt;COUNT(Dong10),"",OFFSET(TH!F$1,SMALL(Dong10,ROWS($1:3)),))</f>
        <v>Đường</v>
      </c>
      <c r="C19" s="570"/>
      <c r="D19" s="571" t="str">
        <f ca="1">IF(ISNA(VLOOKUP(B19,NXT!$C$12:$D$59,2,0)),"",VLOOKUP(B19,NXT!$C$12:$D$59,2,0))</f>
        <v>kg</v>
      </c>
      <c r="E19" s="572"/>
      <c r="F19" s="573">
        <f ca="1">IF(ROWS($1:3)&gt;COUNT(Dong10),"",OFFSET(TH!I$1,SMALL(Dong10,ROWS($1:3)),))</f>
        <v>150</v>
      </c>
      <c r="G19" s="574">
        <f ca="1">IF(ROWS($1:3)&gt;COUNT(Dong10),"",OFFSET(TH!J$1,SMALL(Dong10,ROWS($1:3)),))</f>
        <v>11666.673333333334</v>
      </c>
      <c r="H19" s="572">
        <f t="shared" ca="1" si="0"/>
        <v>1750001</v>
      </c>
    </row>
    <row r="20" spans="1:8" s="557" customFormat="1" ht="12" customHeight="1">
      <c r="A20" s="568" t="str">
        <f t="shared" ca="1" si="1"/>
        <v/>
      </c>
      <c r="B20" s="569" t="str">
        <f ca="1">IF(ROWS($1:4)&gt;COUNT(Dong10),"",OFFSET(TH!F$1,SMALL(Dong10,ROWS($1:4)),))</f>
        <v/>
      </c>
      <c r="C20" s="570"/>
      <c r="D20" s="571" t="str">
        <f ca="1">IF(ISNA(VLOOKUP(B20,NXT!$C$12:$D$59,2,0)),"",VLOOKUP(B20,NXT!$C$12:$D$59,2,0))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IF(ISNA(VLOOKUP(B21,NXT!$C$12:$D$59,2,0)),"",VLOOKUP(B21,NXT!$C$12:$D$59,2,0))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IF(ISNA(VLOOKUP(B22,NXT!$C$12:$D$59,2,0)),"",VLOOKUP(B22,NXT!$C$12:$D$59,2,0))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IF(ISNA(VLOOKUP(B23,NXT!$C$12:$D$59,2,0)),"",VLOOKUP(B23,NXT!$C$12:$D$59,2,0))</f>
        <v/>
      </c>
      <c r="E23" s="572"/>
      <c r="F23" s="573" t="str">
        <f ca="1">IF(ROWS($1:7)&gt;COUNT(Dong10),"",OFFSET(TH!I$1,SMALL(Dong10,ROWS($1:7)),))</f>
        <v/>
      </c>
      <c r="G23" s="574" t="str">
        <f ca="1">IF(ROWS($1:7)&gt;COUNT(Dong10),"",OFFSET(TH!J$1,SMALL(Dong10,ROWS($1:7)),))</f>
        <v/>
      </c>
      <c r="H23" s="576" t="str">
        <f t="shared" ca="1" si="0"/>
        <v/>
      </c>
    </row>
    <row r="24" spans="1:8" s="557" customFormat="1" ht="12" customHeight="1">
      <c r="A24" s="1342" t="s">
        <v>475</v>
      </c>
      <c r="B24" s="1342"/>
      <c r="C24" s="577"/>
      <c r="D24" s="577"/>
      <c r="E24" s="578"/>
      <c r="F24" s="578"/>
      <c r="G24" s="578"/>
      <c r="H24" s="578">
        <f ca="1">SUM(H17:H23)</f>
        <v>6229269</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[3]!VND(H24, TRUE)</f>
        <v>Tổng số tiền (viết bằng chữ):  Sáu triệu, hai trăm hai mươi chín ngàn, hai trăm sáu mươi chín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2  tháng  1  năm  2016</v>
      </c>
    </row>
    <row r="29" spans="1:8" s="582" customFormat="1" ht="14.25" customHeight="1">
      <c r="A29" s="581" t="s">
        <v>476</v>
      </c>
      <c r="C29" s="583"/>
      <c r="E29" s="583"/>
      <c r="F29" s="583" t="str">
        <f>+IF(LEFT($D$7,1)="N","                                                       Kế toán trưởng","                                          Kế toán trưởng                           Giám đốc")</f>
        <v xml:space="preserve">                                          Kế toán trưởng                           Giám đốc</v>
      </c>
    </row>
    <row r="30" spans="1:8" s="557" customFormat="1" ht="12.75" customHeight="1">
      <c r="A30" s="563" t="s">
        <v>477</v>
      </c>
      <c r="C30" s="123"/>
      <c r="E30" s="123"/>
      <c r="F30" s="123" t="str">
        <f>+IF(LEFT($D$7,1)="N","                                                     (Ký, họ tên)","                (Ký, họ tên)                ")</f>
        <v xml:space="preserve">                (Ký, họ tên)                </v>
      </c>
      <c r="H30" s="563" t="str">
        <f>+IF(LEFT($D$7,1)="N","","  (Ký, họ tên)")</f>
        <v xml:space="preserve">  (Ký, họ tên)</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50" t="s">
        <v>480</v>
      </c>
      <c r="K2" s="1350"/>
      <c r="L2" s="1350"/>
      <c r="M2" s="1350"/>
      <c r="N2" s="593"/>
    </row>
    <row r="3" spans="1:17" s="458" customFormat="1" ht="16.5" customHeight="1">
      <c r="B3" s="589" t="s">
        <v>319</v>
      </c>
      <c r="C3" s="589"/>
      <c r="D3" s="589"/>
      <c r="E3" s="594"/>
      <c r="F3" s="589"/>
      <c r="J3" s="1351" t="s">
        <v>50</v>
      </c>
      <c r="K3" s="1351"/>
      <c r="L3" s="1351"/>
      <c r="M3" s="1351"/>
      <c r="N3" s="595"/>
    </row>
    <row r="4" spans="1:17" s="458" customFormat="1" ht="16.5" customHeight="1">
      <c r="B4" s="589"/>
      <c r="C4" s="589"/>
      <c r="D4" s="589"/>
      <c r="E4" s="594"/>
      <c r="F4" s="589"/>
      <c r="J4" s="1351"/>
      <c r="K4" s="1351"/>
      <c r="L4" s="1351"/>
      <c r="M4" s="1351"/>
      <c r="N4" s="595"/>
    </row>
    <row r="5" spans="1:17" ht="18.75" customHeight="1">
      <c r="B5" s="1352" t="s">
        <v>481</v>
      </c>
      <c r="C5" s="1352"/>
      <c r="D5" s="1352"/>
      <c r="E5" s="1352"/>
      <c r="F5" s="1352"/>
      <c r="G5" s="1352"/>
      <c r="H5" s="1352"/>
      <c r="I5" s="1352"/>
      <c r="J5" s="1352"/>
      <c r="K5" s="1352"/>
      <c r="L5" s="1352"/>
      <c r="M5" s="1352"/>
      <c r="N5" s="596"/>
    </row>
    <row r="6" spans="1:17" s="597" customFormat="1" ht="12.75">
      <c r="B6" s="1353" t="s">
        <v>482</v>
      </c>
      <c r="C6" s="1353"/>
      <c r="D6" s="1353"/>
      <c r="E6" s="1353"/>
      <c r="F6" s="1353"/>
      <c r="G6" s="1353"/>
      <c r="H6" s="1353"/>
      <c r="I6" s="1353"/>
      <c r="J6" s="1353"/>
      <c r="K6" s="1353"/>
      <c r="L6" s="1353"/>
      <c r="M6" s="1353"/>
      <c r="N6" s="598"/>
    </row>
    <row r="7" spans="1:17">
      <c r="C7" s="599"/>
      <c r="D7" s="599"/>
      <c r="F7" s="601" t="s">
        <v>936</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54" t="s">
        <v>385</v>
      </c>
      <c r="K8" s="1354"/>
      <c r="L8" s="1354"/>
      <c r="M8" s="599"/>
      <c r="N8" s="599"/>
    </row>
    <row r="9" spans="1:17">
      <c r="D9" s="602"/>
      <c r="E9" s="603"/>
      <c r="F9" s="602"/>
      <c r="G9" s="602"/>
      <c r="H9" s="602"/>
      <c r="I9" s="602"/>
      <c r="J9" s="602"/>
      <c r="K9" s="602" t="s">
        <v>148</v>
      </c>
      <c r="M9" s="604"/>
      <c r="N9" s="605"/>
    </row>
    <row r="10" spans="1:17" ht="15.75" customHeight="1">
      <c r="A10" s="1344" t="s">
        <v>37</v>
      </c>
      <c r="B10" s="1345" t="s">
        <v>1</v>
      </c>
      <c r="C10" s="1345"/>
      <c r="D10" s="1346" t="s">
        <v>0</v>
      </c>
      <c r="E10" s="1346" t="s">
        <v>485</v>
      </c>
      <c r="F10" s="1346" t="s">
        <v>472</v>
      </c>
      <c r="G10" s="1348" t="s">
        <v>486</v>
      </c>
      <c r="H10" s="1349"/>
      <c r="I10" s="1348" t="s">
        <v>487</v>
      </c>
      <c r="J10" s="1349"/>
      <c r="K10" s="1348" t="s">
        <v>488</v>
      </c>
      <c r="L10" s="1349"/>
      <c r="M10" s="1346" t="s">
        <v>152</v>
      </c>
      <c r="N10" s="606"/>
      <c r="O10" s="607" t="s">
        <v>489</v>
      </c>
    </row>
    <row r="11" spans="1:17" ht="31.5" customHeight="1">
      <c r="A11" s="1344"/>
      <c r="B11" s="608" t="s">
        <v>17</v>
      </c>
      <c r="C11" s="608" t="s">
        <v>34</v>
      </c>
      <c r="D11" s="1346"/>
      <c r="E11" s="1346"/>
      <c r="F11" s="1346"/>
      <c r="G11" s="608" t="s">
        <v>471</v>
      </c>
      <c r="H11" s="608" t="s">
        <v>473</v>
      </c>
      <c r="I11" s="608" t="s">
        <v>471</v>
      </c>
      <c r="J11" s="608" t="s">
        <v>473</v>
      </c>
      <c r="K11" s="608" t="s">
        <v>471</v>
      </c>
      <c r="L11" s="608" t="s">
        <v>473</v>
      </c>
      <c r="M11" s="1346"/>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VLOOKUP($J$8,NXT!$C$12:$L$59,3,0)</f>
        <v>13938</v>
      </c>
      <c r="L13" s="617">
        <f>VLOOKUP($J$8,NXT!$C$12:$L$59,4,0)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47" t="s">
        <v>460</v>
      </c>
      <c r="K35" s="1347"/>
      <c r="L35" s="1347"/>
      <c r="M35" s="1347"/>
      <c r="N35" s="612"/>
    </row>
    <row r="36" spans="2:14">
      <c r="C36" s="599"/>
      <c r="D36" s="1104" t="s">
        <v>11</v>
      </c>
      <c r="E36" s="1347" t="s">
        <v>12</v>
      </c>
      <c r="F36" s="1347"/>
      <c r="G36" s="1347"/>
      <c r="H36" s="1347"/>
      <c r="I36" s="1347"/>
      <c r="J36" s="1347" t="s">
        <v>131</v>
      </c>
      <c r="K36" s="1347"/>
      <c r="L36" s="1347"/>
      <c r="M36" s="1347"/>
      <c r="N36" s="612"/>
    </row>
    <row r="37" spans="2:14">
      <c r="C37" s="599"/>
      <c r="D37" s="1104" t="s">
        <v>13</v>
      </c>
      <c r="E37" s="1347" t="s">
        <v>13</v>
      </c>
      <c r="F37" s="1347"/>
      <c r="G37" s="1347"/>
      <c r="H37" s="1347" t="s">
        <v>161</v>
      </c>
      <c r="I37" s="1347"/>
      <c r="J37" s="1347" t="s">
        <v>161</v>
      </c>
      <c r="K37" s="1347"/>
      <c r="L37" s="1347"/>
      <c r="M37" s="1347"/>
      <c r="N37" s="612"/>
    </row>
    <row r="38" spans="2:14">
      <c r="N38" s="637"/>
    </row>
    <row r="39" spans="2:14">
      <c r="E39" s="587"/>
    </row>
    <row r="41" spans="2:14" customFormat="1" ht="12.75">
      <c r="E41" s="638"/>
    </row>
    <row r="46" spans="2:14">
      <c r="D46" s="1137" t="s">
        <v>230</v>
      </c>
      <c r="E46" s="1137"/>
      <c r="J46" s="1343" t="s">
        <v>125</v>
      </c>
      <c r="K46" s="1343"/>
      <c r="L46" s="1343"/>
      <c r="M46" s="1343"/>
      <c r="N46" s="1138"/>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VLOOKUP($E$7,NXT!$C$12:$L$60,2,0)</f>
        <v>kg</v>
      </c>
      <c r="D8" s="634"/>
      <c r="E8" s="658"/>
      <c r="F8" s="650"/>
      <c r="G8" s="659"/>
      <c r="H8" s="659"/>
      <c r="I8" s="659"/>
      <c r="J8" s="645"/>
      <c r="K8" s="645"/>
    </row>
    <row r="9" spans="1:12" ht="15">
      <c r="A9" s="1355" t="s">
        <v>500</v>
      </c>
      <c r="B9" s="1356"/>
      <c r="C9" s="1356"/>
      <c r="D9" s="1356"/>
      <c r="E9" s="658"/>
      <c r="F9" s="650"/>
      <c r="G9" s="659"/>
      <c r="H9" s="659"/>
      <c r="I9" s="659"/>
      <c r="J9" s="660"/>
      <c r="K9" s="660"/>
    </row>
    <row r="10" spans="1:12" ht="19.5" customHeight="1">
      <c r="A10" s="1357" t="s">
        <v>501</v>
      </c>
      <c r="B10" s="1358" t="s">
        <v>502</v>
      </c>
      <c r="C10" s="1360" t="s">
        <v>17</v>
      </c>
      <c r="D10" s="1361"/>
      <c r="E10" s="1362" t="s">
        <v>0</v>
      </c>
      <c r="F10" s="1371" t="s">
        <v>503</v>
      </c>
      <c r="G10" s="1365" t="s">
        <v>471</v>
      </c>
      <c r="H10" s="1365"/>
      <c r="I10" s="1361"/>
      <c r="J10" s="1366" t="s">
        <v>504</v>
      </c>
      <c r="K10" s="661"/>
      <c r="L10" s="662" t="s">
        <v>489</v>
      </c>
    </row>
    <row r="11" spans="1:12" ht="19.5" customHeight="1">
      <c r="A11" s="1357"/>
      <c r="B11" s="1359"/>
      <c r="C11" s="663" t="s">
        <v>486</v>
      </c>
      <c r="D11" s="663" t="s">
        <v>487</v>
      </c>
      <c r="E11" s="1363"/>
      <c r="F11" s="1372"/>
      <c r="G11" s="664" t="s">
        <v>486</v>
      </c>
      <c r="H11" s="664" t="s">
        <v>487</v>
      </c>
      <c r="I11" s="664" t="s">
        <v>488</v>
      </c>
      <c r="J11" s="1367"/>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VLOOKUP($E$7,NXT!$C$12:$L$60,3,0)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68"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9"/>
      <c r="C35" s="1369"/>
      <c r="D35" s="1369"/>
      <c r="E35" s="1369"/>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70" t="s">
        <v>12</v>
      </c>
      <c r="F37" s="1370"/>
      <c r="G37" s="659"/>
      <c r="I37" s="1141" t="s">
        <v>131</v>
      </c>
      <c r="J37" s="648"/>
      <c r="K37" s="699"/>
    </row>
    <row r="38" spans="1:11" ht="15" customHeight="1">
      <c r="A38" s="703"/>
      <c r="C38" s="704" t="s">
        <v>13</v>
      </c>
      <c r="D38" s="705"/>
      <c r="E38" s="1364" t="s">
        <v>13</v>
      </c>
      <c r="F38" s="1364"/>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1342</v>
      </c>
      <c r="H46" s="1139"/>
      <c r="I46" s="1138" t="s">
        <v>125</v>
      </c>
      <c r="J46" s="1139"/>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76" t="s">
        <v>508</v>
      </c>
      <c r="B1" s="1376"/>
      <c r="C1" s="1376"/>
      <c r="D1" s="1376"/>
      <c r="E1" s="1376"/>
      <c r="F1" s="1376"/>
      <c r="G1" s="1376"/>
      <c r="H1" s="1376"/>
      <c r="I1" s="1376"/>
      <c r="J1" s="1377" t="s">
        <v>509</v>
      </c>
      <c r="K1" s="1378"/>
      <c r="L1" s="712"/>
      <c r="M1" s="712"/>
      <c r="N1" s="713"/>
    </row>
    <row r="2" spans="1:14" ht="15.75">
      <c r="A2" s="1376"/>
      <c r="B2" s="1376"/>
      <c r="C2" s="1376"/>
      <c r="D2" s="1376"/>
      <c r="E2" s="1376"/>
      <c r="F2" s="1376"/>
      <c r="G2" s="1376"/>
      <c r="H2" s="1376"/>
      <c r="I2" s="1376"/>
      <c r="J2" s="1379"/>
      <c r="K2" s="1380"/>
      <c r="L2" s="712"/>
      <c r="M2" s="712"/>
      <c r="N2" s="713"/>
    </row>
    <row r="3" spans="1:14" ht="15.75">
      <c r="A3" s="1376"/>
      <c r="B3" s="1376"/>
      <c r="C3" s="1376"/>
      <c r="D3" s="1376"/>
      <c r="E3" s="1376"/>
      <c r="F3" s="1376"/>
      <c r="G3" s="1376"/>
      <c r="H3" s="1376"/>
      <c r="I3" s="1376"/>
      <c r="J3" s="1379"/>
      <c r="K3" s="1380"/>
      <c r="L3" s="712"/>
      <c r="M3" s="712"/>
      <c r="N3" s="713"/>
    </row>
    <row r="4" spans="1:14" ht="16.5">
      <c r="A4" s="1383" t="str">
        <f>"( " &amp; IF(OR($M$11=1,$M$11=4,$M$11=6,$M$11=9,$M$11=11),"Ngày  30  tháng  "&amp;$M$11&amp;"  năm 2016",IF(OR($M$11=3,$M$11=5,$M$11=7,$M$11=8,$M$11=10,$M$11=12),"Ngày  31  tháng  "&amp;$M$11&amp;"  năm 2016","Ngày  29  tháng  "&amp;$M$11&amp;"  năm 2016")) &amp; " ) "</f>
        <v xml:space="preserve">( Ngày  29  tháng  2  năm 2016 ) </v>
      </c>
      <c r="B4" s="1383"/>
      <c r="C4" s="1383"/>
      <c r="D4" s="1383"/>
      <c r="E4" s="1383"/>
      <c r="F4" s="1383"/>
      <c r="G4" s="1383"/>
      <c r="H4" s="1383"/>
      <c r="I4" s="1383"/>
      <c r="J4" s="1381"/>
      <c r="K4" s="1382"/>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84" t="s">
        <v>582</v>
      </c>
      <c r="B11" s="1386" t="s">
        <v>515</v>
      </c>
      <c r="C11" s="1387"/>
      <c r="D11" s="1387"/>
      <c r="E11" s="1387"/>
      <c r="F11" s="1388"/>
      <c r="G11" s="1389" t="s">
        <v>516</v>
      </c>
      <c r="H11" s="1389"/>
      <c r="I11" s="1389"/>
      <c r="J11" s="1389"/>
      <c r="K11" s="1390" t="s">
        <v>152</v>
      </c>
      <c r="L11" s="718"/>
      <c r="M11" s="1155">
        <v>2</v>
      </c>
      <c r="N11" s="720"/>
    </row>
    <row r="12" spans="1:14" ht="36" customHeight="1">
      <c r="A12" s="1385"/>
      <c r="B12" s="721" t="s">
        <v>517</v>
      </c>
      <c r="C12" s="721"/>
      <c r="D12" s="721" t="s">
        <v>518</v>
      </c>
      <c r="E12" s="721" t="s">
        <v>519</v>
      </c>
      <c r="F12" s="721" t="s">
        <v>520</v>
      </c>
      <c r="G12" s="721" t="s">
        <v>521</v>
      </c>
      <c r="H12" s="722" t="s">
        <v>471</v>
      </c>
      <c r="I12" s="722" t="s">
        <v>472</v>
      </c>
      <c r="J12" s="721" t="s">
        <v>522</v>
      </c>
      <c r="K12" s="1391"/>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73"/>
      <c r="I48" s="1373"/>
      <c r="J48" s="1373"/>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74" t="s">
        <v>531</v>
      </c>
      <c r="B51" s="1375"/>
      <c r="C51" s="1375"/>
      <c r="D51" s="1375"/>
      <c r="E51" s="1375"/>
      <c r="F51" s="1375"/>
      <c r="G51" s="1375"/>
      <c r="H51" s="1375"/>
      <c r="I51" s="1375"/>
      <c r="J51" s="1375"/>
      <c r="K51" s="1375"/>
      <c r="L51" s="712"/>
      <c r="M51" s="713"/>
      <c r="N51" s="713"/>
    </row>
    <row r="52" spans="1:14" ht="45" customHeight="1">
      <c r="A52" s="1374" t="s">
        <v>532</v>
      </c>
      <c r="B52" s="1374"/>
      <c r="C52" s="1374"/>
      <c r="D52" s="1374"/>
      <c r="E52" s="1374"/>
      <c r="F52" s="1374"/>
      <c r="G52" s="1374"/>
      <c r="H52" s="1374"/>
      <c r="I52" s="1374"/>
      <c r="J52" s="1374"/>
      <c r="K52" s="1374"/>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392"/>
      <c r="T5" s="1392"/>
      <c r="U5" s="768"/>
      <c r="V5" s="1392"/>
      <c r="W5" s="1392"/>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393"/>
      <c r="S17" s="1393"/>
      <c r="T17" s="1393"/>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656</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IF(ISNA(VLOOKUP(B30,[4]NXT!$Q$61:$S$81,2,0)),0,VLOOKUP(B30,[4]NXT!$Q$61:$S$81,2,0))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943</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1373</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656</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IF(ISNA(VLOOKUP(B87,NXT!$Q$65:$S$85,2,0)),0,VLOOKUP(B87,NXT!$Q$65:$S$85,2,0))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IF(ISNA(VLOOKUP(B88,NXT!$Q$65:$S$85,2,0)),0,VLOOKUP(B88,NXT!$Q$65:$S$85,2,0))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IF(ISNA(VLOOKUP(B107,NXT!$Q$65:$S$85,2,0)),0,VLOOKUP(B107,NXT!$Q$65:$S$85,2,0))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IF(ISNA(VLOOKUP(B108,NXT!$Q$65:$S$85,2,0)),0,VLOOKUP(B108,NXT!$Q$65:$S$85,2,0))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IF(ISNA(VLOOKUP(B109,NXT!$Q$65:$S$85,2,0)),0,VLOOKUP(B109,NXT!$Q$65:$S$85,2,0))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IF(ISNA(VLOOKUP(B110,NXT!$Q$65:$S$85,2,0)),0,VLOOKUP(B110,NXT!$Q$65:$S$85,2,0))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IF(ISNA(VLOOKUP(B135,NXT!$Q$65:$S$85,2,0)),0,VLOOKUP(B135,NXT!$Q$65:$S$85,2,0))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IF(ISNA(VLOOKUP(B136,NXT!$Q$65:$S$85,2,0)),0,VLOOKUP(B136,NXT!$Q$65:$S$85,2,0))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IF(ISNA(VLOOKUP(B137,NXT!$Q$65:$S$85,2,0)),0,VLOOKUP(B137,NXT!$Q$65:$S$85,2,0))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IF(ISNA(VLOOKUP(B158,NXT!$Q$65:$S$85,2,0)),0,VLOOKUP(B158,NXT!$Q$65:$S$85,2,0))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IF(ISNA(VLOOKUP(B159,NXT!$Q$65:$S$85,2,0)),0,VLOOKUP(B159,NXT!$Q$65:$S$85,2,0))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IF(ISNA(VLOOKUP(B160,NXT!$Q$65:$S$85,2,0)),0,VLOOKUP(B160,NXT!$Q$65:$S$85,2,0))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IF(ISNA(VLOOKUP(B161,NXT!$Q$65:$S$85,2,0)),0,VLOOKUP(B161,NXT!$Q$65:$S$85,2,0))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IF(ISNA(VLOOKUP(B162,NXT!$Q$65:$S$85,2,0)),0,VLOOKUP(B162,NXT!$Q$65:$S$85,2,0))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IF(ISNA(VLOOKUP(B185,NXT!$Q$65:$S$85,2,0)),0,VLOOKUP(B185,NXT!$Q$65:$S$85,2,0))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IF(ISNA(VLOOKUP(B186,NXT!$Q$65:$S$85,2,0)),0,VLOOKUP(B186,NXT!$Q$65:$S$85,2,0))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IF(ISNA(VLOOKUP(B187,NXT!$Q$65:$S$85,2,0)),0,VLOOKUP(B187,NXT!$Q$65:$S$85,2,0))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IF(ISNA(VLOOKUP(B188,NXT!$Q$65:$S$85,2,0)),0,VLOOKUP(B188,NXT!$Q$65:$S$85,2,0))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IF(ISNA(VLOOKUP(B189,NXT!$Q$65:$S$85,2,0)),0,VLOOKUP(B189,NXT!$Q$65:$S$85,2,0))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IF(ISNA(VLOOKUP(B212,NXT!$Q$65:$S$85,2,0)),0,VLOOKUP(B212,NXT!$Q$65:$S$85,2,0))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IF(ISNA(VLOOKUP(B213,NXT!$Q$65:$S$85,2,0)),0,VLOOKUP(B213,NXT!$Q$65:$S$85,2,0))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IF(ISNA(VLOOKUP(B214,NXT!$Q$65:$S$85,2,0)),0,VLOOKUP(B214,NXT!$Q$65:$S$85,2,0))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IF(ISNA(VLOOKUP(B215,NXT!$Q$65:$S$85,2,0)),0,VLOOKUP(B215,NXT!$Q$65:$S$85,2,0))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IF(ISNA(VLOOKUP(B216,NXT!$Q$65:$S$85,2,0)),0,VLOOKUP(B216,NXT!$Q$65:$S$85,2,0))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IF(ISNA(VLOOKUP(B217,NXT!$Q$65:$S$85,2,0)),0,VLOOKUP(B217,NXT!$Q$65:$S$85,2,0))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IF(ISNA(VLOOKUP(B238,NXT!$Q$65:$S$85,2,0)),0,VLOOKUP(B238,NXT!$Q$65:$S$85,2,0))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IF(ISNA(VLOOKUP(B239,NXT!$Q$65:$S$85,2,0)),0,VLOOKUP(B239,NXT!$Q$65:$S$85,2,0))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IF(ISNA(VLOOKUP(B240,NXT!$Q$65:$S$85,2,0)),0,VLOOKUP(B240,NXT!$Q$65:$S$85,2,0))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IF(ISNA(VLOOKUP(B241,NXT!$Q$65:$S$85,2,0)),0,VLOOKUP(B241,NXT!$Q$65:$S$85,2,0))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IF(ISNA(VLOOKUP(B242,NXT!$Q$65:$S$85,2,0)),0,VLOOKUP(B242,NXT!$Q$65:$S$85,2,0))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IF(ISNA(VLOOKUP(B263,NXT!$Q$65:$S$85,2,0)),0,VLOOKUP(B263,NXT!$Q$65:$S$85,2,0))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IF(ISNA(VLOOKUP(B264,NXT!$Q$65:$S$85,2,0)),0,VLOOKUP(B264,NXT!$Q$65:$S$85,2,0))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IF(ISNA(VLOOKUP(B265,NXT!$Q$65:$S$85,2,0)),0,VLOOKUP(B265,NXT!$Q$65:$S$85,2,0))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IF(ISNA(VLOOKUP(B266,NXT!$Q$65:$S$85,2,0)),0,VLOOKUP(B266,NXT!$Q$65:$S$85,2,0))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IF(ISNA(VLOOKUP(B267,NXT!$Q$65:$S$85,2,0)),0,VLOOKUP(B267,NXT!$Q$65:$S$85,2,0))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IF(ISNA(VLOOKUP(B268,NXT!$Q$65:$S$85,2,0)),0,VLOOKUP(B268,NXT!$Q$65:$S$85,2,0))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395" t="s">
        <v>562</v>
      </c>
      <c r="G1" s="1395"/>
      <c r="H1" s="1395"/>
      <c r="I1" s="858"/>
      <c r="J1" s="859"/>
    </row>
    <row r="2" spans="1:10" s="856" customFormat="1" ht="29.25" customHeight="1">
      <c r="A2" s="1121" t="s">
        <v>563</v>
      </c>
      <c r="B2" s="1121"/>
      <c r="D2" s="860"/>
      <c r="E2" s="860"/>
      <c r="F2" s="1396" t="s">
        <v>144</v>
      </c>
      <c r="G2" s="1396"/>
      <c r="H2" s="1396"/>
      <c r="I2" s="858"/>
      <c r="J2" s="719">
        <v>1</v>
      </c>
    </row>
    <row r="3" spans="1:10" s="856" customFormat="1" ht="15">
      <c r="A3" s="1122"/>
      <c r="B3" s="1123"/>
      <c r="C3" s="860"/>
      <c r="D3" s="860"/>
      <c r="E3" s="860"/>
      <c r="F3" s="1396"/>
      <c r="G3" s="1396"/>
      <c r="H3" s="1396"/>
      <c r="I3" s="858"/>
    </row>
    <row r="4" spans="1:10" s="1125" customFormat="1" ht="17.25" customHeight="1">
      <c r="A4" s="1397" t="s">
        <v>564</v>
      </c>
      <c r="B4" s="1397"/>
      <c r="C4" s="1397"/>
      <c r="D4" s="1397"/>
      <c r="E4" s="1397"/>
      <c r="F4" s="1397"/>
      <c r="G4" s="1397"/>
      <c r="H4" s="1397"/>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398" t="s">
        <v>565</v>
      </c>
      <c r="D6" s="1398"/>
      <c r="E6" s="1399" t="s">
        <v>453</v>
      </c>
      <c r="F6" s="1399"/>
      <c r="H6" s="1129"/>
      <c r="I6" s="1127"/>
    </row>
    <row r="7" spans="1:10" s="1131" customFormat="1" ht="9.75" customHeight="1">
      <c r="A7" s="1130"/>
      <c r="B7" s="1130"/>
      <c r="C7" s="1130"/>
      <c r="D7" s="1130"/>
      <c r="E7" s="1130"/>
      <c r="F7" s="1130"/>
      <c r="G7" s="1130"/>
      <c r="H7" s="1130"/>
      <c r="I7" s="1129"/>
    </row>
    <row r="8" spans="1:10" s="862" customFormat="1" ht="17.25" customHeight="1">
      <c r="A8" s="1400" t="s">
        <v>566</v>
      </c>
      <c r="B8" s="1401" t="s">
        <v>567</v>
      </c>
      <c r="C8" s="1401" t="s">
        <v>568</v>
      </c>
      <c r="D8" s="1401"/>
      <c r="E8" s="1401"/>
      <c r="F8" s="1401"/>
      <c r="G8" s="1401"/>
      <c r="H8" s="1401"/>
      <c r="I8" s="861"/>
    </row>
    <row r="9" spans="1:10" s="865" customFormat="1" ht="28.5">
      <c r="A9" s="1400"/>
      <c r="B9" s="1401"/>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394" t="str">
        <f xml:space="preserve"> IF(OR($J$2=1,$J$2=4,$J$2=6,$J$2=9,$J$2=11),"Ngày  30  tháng  "&amp;$J$2&amp;"  năm 2016",IF(OR($J$2=3,$J$2=5,$J$2=7,$J$2=8,$J$2=10,$J$2=12),"Ngày  31  tháng  "&amp;$J$2&amp;"  năm 2016","Ngày  29  tháng  "&amp;$J$2&amp;"  năm 2016"))</f>
        <v>Ngày  30  tháng  1  năm 2016</v>
      </c>
      <c r="F16" s="1394"/>
      <c r="G16" s="1394"/>
      <c r="H16" s="1394"/>
      <c r="I16" s="1127"/>
    </row>
    <row r="17" spans="2:9" s="1126" customFormat="1" ht="15">
      <c r="B17" s="868" t="s">
        <v>579</v>
      </c>
      <c r="C17" s="1127"/>
      <c r="D17" s="1127"/>
      <c r="E17" s="1394" t="s">
        <v>12</v>
      </c>
      <c r="F17" s="1394"/>
      <c r="G17" s="1394"/>
      <c r="H17" s="1394"/>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1240</v>
      </c>
      <c r="M1" s="1028"/>
      <c r="N1" s="1029" t="s">
        <v>1241</v>
      </c>
      <c r="O1" s="1028"/>
    </row>
    <row r="2" spans="1:17" ht="15" customHeight="1">
      <c r="A2" s="1024" t="s">
        <v>1242</v>
      </c>
      <c r="L2" s="1027"/>
      <c r="M2" s="1027"/>
      <c r="N2" s="1030" t="s">
        <v>320</v>
      </c>
      <c r="O2" s="1027"/>
    </row>
    <row r="3" spans="1:17" ht="15" customHeight="1">
      <c r="L3" s="1027"/>
      <c r="M3" s="1027"/>
      <c r="N3" s="1030" t="s">
        <v>238</v>
      </c>
      <c r="O3" s="1027"/>
    </row>
    <row r="5" spans="1:17" s="1031" customFormat="1" ht="24" customHeight="1">
      <c r="A5" s="1411" t="s">
        <v>1243</v>
      </c>
      <c r="B5" s="1411"/>
      <c r="C5" s="1411"/>
      <c r="D5" s="1411"/>
      <c r="E5" s="1411"/>
      <c r="F5" s="1411"/>
      <c r="G5" s="1411"/>
      <c r="H5" s="1411"/>
      <c r="I5" s="1411"/>
      <c r="J5" s="1411"/>
      <c r="K5" s="1411"/>
      <c r="L5" s="1411"/>
      <c r="M5" s="1411"/>
      <c r="N5" s="1411"/>
      <c r="O5" s="1411"/>
      <c r="P5" s="1107"/>
    </row>
    <row r="6" spans="1:17" s="1031" customFormat="1" ht="21" customHeight="1">
      <c r="A6" s="1412" t="s">
        <v>1300</v>
      </c>
      <c r="B6" s="1412"/>
      <c r="C6" s="1412"/>
      <c r="D6" s="1412"/>
      <c r="E6" s="1412"/>
      <c r="F6" s="1412"/>
      <c r="G6" s="1412"/>
      <c r="H6" s="1412"/>
      <c r="I6" s="1412"/>
      <c r="J6" s="1412"/>
      <c r="K6" s="1412"/>
      <c r="L6" s="1412"/>
      <c r="M6" s="1412"/>
      <c r="N6" s="1412"/>
      <c r="O6" s="1412"/>
      <c r="P6" s="1107"/>
    </row>
    <row r="7" spans="1:17" s="1031" customFormat="1" ht="21" customHeight="1">
      <c r="A7" s="1413" t="s">
        <v>1308</v>
      </c>
      <c r="B7" s="1413"/>
      <c r="C7" s="1413"/>
      <c r="D7" s="1413"/>
      <c r="E7" s="1413"/>
      <c r="F7" s="1413"/>
      <c r="G7" s="1413"/>
      <c r="H7" s="1413"/>
      <c r="I7" s="1413"/>
      <c r="J7" s="1413"/>
      <c r="K7" s="1413"/>
      <c r="L7" s="1413"/>
      <c r="M7" s="1413"/>
      <c r="N7" s="1413"/>
      <c r="O7" s="1413"/>
      <c r="P7" s="1107"/>
    </row>
    <row r="8" spans="1:17">
      <c r="D8" s="1026"/>
    </row>
    <row r="9" spans="1:17" s="1032" customFormat="1" ht="24" customHeight="1">
      <c r="A9" s="1402" t="s">
        <v>501</v>
      </c>
      <c r="B9" s="1405" t="s">
        <v>1244</v>
      </c>
      <c r="C9" s="1406"/>
      <c r="D9" s="1406"/>
      <c r="E9" s="1406"/>
      <c r="F9" s="1406"/>
      <c r="G9" s="1406"/>
      <c r="H9" s="1407"/>
      <c r="I9" s="1405" t="s">
        <v>1245</v>
      </c>
      <c r="J9" s="1406"/>
      <c r="K9" s="1406"/>
      <c r="L9" s="1407"/>
      <c r="M9" s="1408" t="s">
        <v>1246</v>
      </c>
      <c r="N9" s="1408"/>
      <c r="O9" s="1408"/>
      <c r="P9" s="1108"/>
    </row>
    <row r="10" spans="1:17" s="1032" customFormat="1" ht="24" customHeight="1">
      <c r="A10" s="1403"/>
      <c r="B10" s="1405" t="s">
        <v>1247</v>
      </c>
      <c r="C10" s="1407"/>
      <c r="D10" s="1402" t="s">
        <v>1248</v>
      </c>
      <c r="E10" s="1402" t="s">
        <v>1249</v>
      </c>
      <c r="F10" s="1402" t="s">
        <v>1250</v>
      </c>
      <c r="G10" s="1402" t="s">
        <v>1251</v>
      </c>
      <c r="H10" s="1402" t="s">
        <v>1252</v>
      </c>
      <c r="I10" s="1405" t="s">
        <v>1253</v>
      </c>
      <c r="J10" s="1407"/>
      <c r="K10" s="1409" t="s">
        <v>1254</v>
      </c>
      <c r="L10" s="1402" t="s">
        <v>1255</v>
      </c>
      <c r="M10" s="1408" t="s">
        <v>1247</v>
      </c>
      <c r="N10" s="1408"/>
      <c r="O10" s="1408" t="s">
        <v>1256</v>
      </c>
      <c r="P10" s="1108"/>
    </row>
    <row r="11" spans="1:17" s="1032" customFormat="1" ht="55.5" customHeight="1">
      <c r="A11" s="1404"/>
      <c r="B11" s="1033" t="s">
        <v>1257</v>
      </c>
      <c r="C11" s="1033" t="s">
        <v>502</v>
      </c>
      <c r="D11" s="1404"/>
      <c r="E11" s="1404"/>
      <c r="F11" s="1404"/>
      <c r="G11" s="1404"/>
      <c r="H11" s="1404"/>
      <c r="I11" s="1033" t="s">
        <v>1258</v>
      </c>
      <c r="J11" s="1033" t="s">
        <v>1259</v>
      </c>
      <c r="K11" s="1410"/>
      <c r="L11" s="1404"/>
      <c r="M11" s="1033" t="s">
        <v>17</v>
      </c>
      <c r="N11" s="1033" t="s">
        <v>502</v>
      </c>
      <c r="O11" s="1408"/>
      <c r="P11" s="1108"/>
    </row>
    <row r="12" spans="1:17" s="1036" customFormat="1" ht="13.5">
      <c r="A12" s="1034" t="s">
        <v>2</v>
      </c>
      <c r="B12" s="1034" t="s">
        <v>3</v>
      </c>
      <c r="C12" s="1034" t="s">
        <v>4</v>
      </c>
      <c r="D12" s="1034" t="s">
        <v>5</v>
      </c>
      <c r="E12" s="1034" t="s">
        <v>6</v>
      </c>
      <c r="F12" s="1034" t="s">
        <v>156</v>
      </c>
      <c r="G12" s="1034" t="s">
        <v>1260</v>
      </c>
      <c r="H12" s="1034">
        <v>1</v>
      </c>
      <c r="I12" s="1034">
        <v>2</v>
      </c>
      <c r="J12" s="1034">
        <v>3</v>
      </c>
      <c r="K12" s="1035"/>
      <c r="L12" s="1034">
        <v>4</v>
      </c>
      <c r="M12" s="1034" t="s">
        <v>1261</v>
      </c>
      <c r="N12" s="1034" t="s">
        <v>1262</v>
      </c>
      <c r="O12" s="1034" t="s">
        <v>1263</v>
      </c>
      <c r="P12" s="1109"/>
    </row>
    <row r="13" spans="1:17" s="1036" customFormat="1" ht="21.75" customHeight="1">
      <c r="A13" s="1064" t="s">
        <v>1261</v>
      </c>
      <c r="B13" s="1065" t="s">
        <v>1303</v>
      </c>
      <c r="C13" s="1064"/>
      <c r="D13" s="1064"/>
      <c r="E13" s="1064"/>
      <c r="F13" s="1064"/>
      <c r="G13" s="1064"/>
      <c r="H13" s="1071"/>
      <c r="I13" s="1071"/>
      <c r="J13" s="1071"/>
      <c r="K13" s="1071"/>
      <c r="L13" s="1071"/>
      <c r="M13" s="1064"/>
      <c r="N13" s="1064"/>
      <c r="O13" s="1064"/>
      <c r="P13" s="1109" t="str">
        <f>IF(D13='THE-TS'!$D$11,"x","")</f>
        <v/>
      </c>
    </row>
    <row r="14" spans="1:17" ht="21.75" customHeight="1">
      <c r="A14" s="1063">
        <v>1</v>
      </c>
      <c r="B14" s="1076" t="s">
        <v>1310</v>
      </c>
      <c r="C14" s="1038">
        <v>40543</v>
      </c>
      <c r="D14" s="350" t="s">
        <v>1264</v>
      </c>
      <c r="E14" s="785" t="s">
        <v>1265</v>
      </c>
      <c r="F14" s="1078" t="s">
        <v>1338</v>
      </c>
      <c r="G14" s="1111" t="str">
        <f>RIGHT(B14,5)</f>
        <v>03/10</v>
      </c>
      <c r="H14" s="448">
        <v>1101349856</v>
      </c>
      <c r="I14" s="448">
        <v>25</v>
      </c>
      <c r="J14" s="8">
        <f>ROUND(H14/I14,0)+10</f>
        <v>44054004</v>
      </c>
      <c r="K14" s="8">
        <v>220269960</v>
      </c>
      <c r="L14" s="8">
        <f>K14+J14</f>
        <v>264323964</v>
      </c>
      <c r="M14" s="785"/>
      <c r="N14" s="785"/>
      <c r="O14" s="234"/>
      <c r="P14" s="1109" t="str">
        <f>IF(D14='THE-TS'!$D$11,"x","")</f>
        <v/>
      </c>
      <c r="Q14" s="1101">
        <f>J14/12</f>
        <v>3671167</v>
      </c>
    </row>
    <row r="15" spans="1:17" ht="21.75" customHeight="1">
      <c r="A15" s="1063">
        <v>2</v>
      </c>
      <c r="B15" s="1076" t="s">
        <v>1311</v>
      </c>
      <c r="C15" s="1038">
        <v>40543</v>
      </c>
      <c r="D15" s="350" t="s">
        <v>1266</v>
      </c>
      <c r="E15" s="785" t="s">
        <v>1265</v>
      </c>
      <c r="F15" s="1078" t="s">
        <v>1338</v>
      </c>
      <c r="G15" s="1111" t="str">
        <f t="shared" ref="G15:G32" si="0">RIGHT(B15,5)</f>
        <v>04/10</v>
      </c>
      <c r="H15" s="448">
        <v>1712810212</v>
      </c>
      <c r="I15" s="448">
        <v>5</v>
      </c>
      <c r="J15" s="8"/>
      <c r="K15" s="8">
        <v>1712810212</v>
      </c>
      <c r="L15" s="8">
        <f t="shared" ref="L15:L32" si="1">K15+J15</f>
        <v>1712810212</v>
      </c>
      <c r="M15" s="1059"/>
      <c r="N15" s="785"/>
      <c r="O15" s="234"/>
      <c r="P15" s="1109" t="str">
        <f>IF(D15='THE-TS'!$D$11,"x","")</f>
        <v/>
      </c>
      <c r="Q15" s="1101">
        <f>SUM(J15:J33)/12</f>
        <v>47128135.75</v>
      </c>
    </row>
    <row r="16" spans="1:17" ht="21.75" customHeight="1">
      <c r="A16" s="1063">
        <v>3</v>
      </c>
      <c r="B16" s="1076" t="s">
        <v>1312</v>
      </c>
      <c r="C16" s="1038">
        <v>40543</v>
      </c>
      <c r="D16" s="350" t="s">
        <v>1267</v>
      </c>
      <c r="E16" s="785" t="s">
        <v>1265</v>
      </c>
      <c r="F16" s="1078" t="s">
        <v>1338</v>
      </c>
      <c r="G16" s="1111" t="str">
        <f t="shared" si="0"/>
        <v>05/10</v>
      </c>
      <c r="H16" s="448">
        <v>4567613580</v>
      </c>
      <c r="I16" s="448">
        <v>25</v>
      </c>
      <c r="J16" s="8">
        <f>ROUND(H16/I16,0)-25</f>
        <v>182704518</v>
      </c>
      <c r="K16" s="8">
        <v>913522740</v>
      </c>
      <c r="L16" s="8">
        <f t="shared" si="1"/>
        <v>1096227258</v>
      </c>
      <c r="M16" s="785"/>
      <c r="N16" s="785"/>
      <c r="O16" s="234"/>
      <c r="P16" s="1109" t="str">
        <f>IF(D16='THE-TS'!$D$11,"x","")</f>
        <v/>
      </c>
      <c r="Q16" s="1101"/>
    </row>
    <row r="17" spans="1:17" ht="21.75" customHeight="1">
      <c r="A17" s="1063">
        <v>4</v>
      </c>
      <c r="B17" s="1077" t="s">
        <v>1313</v>
      </c>
      <c r="C17" s="1038">
        <v>41425</v>
      </c>
      <c r="D17" s="350" t="s">
        <v>1268</v>
      </c>
      <c r="E17" s="785" t="s">
        <v>1265</v>
      </c>
      <c r="F17" s="1078" t="s">
        <v>1328</v>
      </c>
      <c r="G17" s="1111" t="str">
        <f t="shared" si="0"/>
        <v>01/13</v>
      </c>
      <c r="H17" s="448">
        <v>108970000</v>
      </c>
      <c r="I17" s="1072">
        <v>5</v>
      </c>
      <c r="J17" s="8">
        <f>ROUND(H17/I17,0)-10</f>
        <v>21793990</v>
      </c>
      <c r="K17" s="8">
        <v>56301177</v>
      </c>
      <c r="L17" s="8">
        <f t="shared" si="1"/>
        <v>78095167</v>
      </c>
      <c r="M17" s="785"/>
      <c r="N17" s="785"/>
      <c r="O17" s="234"/>
      <c r="P17" s="1109" t="str">
        <f>IF(D17='THE-TS'!$D$11,"x","")</f>
        <v/>
      </c>
      <c r="Q17" s="1101"/>
    </row>
    <row r="18" spans="1:17" s="1036" customFormat="1" ht="21.75" customHeight="1">
      <c r="A18" s="1062" t="s">
        <v>1304</v>
      </c>
      <c r="B18" s="1066" t="s">
        <v>1305</v>
      </c>
      <c r="C18" s="1062"/>
      <c r="D18" s="1062"/>
      <c r="E18" s="1062"/>
      <c r="F18" s="1062"/>
      <c r="G18" s="1111"/>
      <c r="H18" s="1073"/>
      <c r="I18" s="1073"/>
      <c r="J18" s="1073"/>
      <c r="K18" s="1073"/>
      <c r="L18" s="8"/>
      <c r="M18" s="1062"/>
      <c r="N18" s="1062"/>
      <c r="O18" s="234"/>
      <c r="P18" s="1109" t="str">
        <f>IF(D18='THE-TS'!$D$11,"x","")</f>
        <v/>
      </c>
      <c r="Q18" s="1101"/>
    </row>
    <row r="19" spans="1:17" ht="21.75" customHeight="1">
      <c r="A19" s="1063">
        <v>1</v>
      </c>
      <c r="B19" s="1078" t="s">
        <v>1317</v>
      </c>
      <c r="C19" s="1038">
        <v>40543</v>
      </c>
      <c r="D19" s="350" t="s">
        <v>1272</v>
      </c>
      <c r="E19" s="785"/>
      <c r="F19" s="1078" t="s">
        <v>1338</v>
      </c>
      <c r="G19" s="1111" t="str">
        <f t="shared" si="0"/>
        <v>02/10</v>
      </c>
      <c r="H19" s="448">
        <v>210000000</v>
      </c>
      <c r="I19" s="448">
        <v>5</v>
      </c>
      <c r="J19" s="8"/>
      <c r="K19" s="8">
        <v>210000000</v>
      </c>
      <c r="L19" s="8">
        <f t="shared" si="1"/>
        <v>210000000</v>
      </c>
      <c r="M19" s="1059"/>
      <c r="N19" s="785"/>
      <c r="O19" s="234"/>
      <c r="P19" s="1109" t="str">
        <f>IF(D19='THE-TS'!$D$11,"x","")</f>
        <v/>
      </c>
      <c r="Q19" s="1101"/>
    </row>
    <row r="20" spans="1:17" ht="21.75" customHeight="1">
      <c r="A20" s="1063">
        <v>2</v>
      </c>
      <c r="B20" s="1076" t="s">
        <v>1318</v>
      </c>
      <c r="C20" s="1038">
        <v>40543</v>
      </c>
      <c r="D20" s="350" t="s">
        <v>1273</v>
      </c>
      <c r="E20" s="785" t="s">
        <v>1265</v>
      </c>
      <c r="F20" s="1078" t="s">
        <v>1338</v>
      </c>
      <c r="G20" s="1111" t="str">
        <f t="shared" si="0"/>
        <v>06/10</v>
      </c>
      <c r="H20" s="448">
        <v>2787898863</v>
      </c>
      <c r="I20" s="448">
        <v>5</v>
      </c>
      <c r="J20" s="8"/>
      <c r="K20" s="8">
        <v>2787898863</v>
      </c>
      <c r="L20" s="8">
        <f t="shared" si="1"/>
        <v>2787898863</v>
      </c>
      <c r="M20" s="1059"/>
      <c r="N20" s="785"/>
      <c r="O20" s="234"/>
      <c r="P20" s="1109" t="str">
        <f>IF(D20='THE-TS'!$D$11,"x","")</f>
        <v/>
      </c>
      <c r="Q20" s="1101"/>
    </row>
    <row r="21" spans="1:17" ht="21.75" customHeight="1">
      <c r="A21" s="1063">
        <v>3</v>
      </c>
      <c r="B21" s="1076" t="s">
        <v>1319</v>
      </c>
      <c r="C21" s="1038">
        <v>41883</v>
      </c>
      <c r="D21" s="350" t="s">
        <v>1274</v>
      </c>
      <c r="E21" s="785"/>
      <c r="F21" s="1078" t="s">
        <v>1329</v>
      </c>
      <c r="G21" s="1111" t="str">
        <f t="shared" si="0"/>
        <v>12/14</v>
      </c>
      <c r="H21" s="448">
        <v>150000000</v>
      </c>
      <c r="I21" s="1072">
        <v>3</v>
      </c>
      <c r="J21" s="8">
        <f>ROUND(H21/I21,0)-5</f>
        <v>49999995</v>
      </c>
      <c r="K21" s="8">
        <v>62500005</v>
      </c>
      <c r="L21" s="8">
        <f t="shared" si="1"/>
        <v>112500000</v>
      </c>
      <c r="M21" s="1059"/>
      <c r="N21" s="234"/>
      <c r="O21" s="234"/>
      <c r="P21" s="1109" t="str">
        <f>IF(D21='THE-TS'!$D$11,"x","")</f>
        <v/>
      </c>
      <c r="Q21" s="1101"/>
    </row>
    <row r="22" spans="1:17" ht="21.75" customHeight="1">
      <c r="A22" s="1063">
        <v>4</v>
      </c>
      <c r="B22" s="1076" t="s">
        <v>1320</v>
      </c>
      <c r="C22" s="1038">
        <v>41883</v>
      </c>
      <c r="D22" s="350" t="s">
        <v>1275</v>
      </c>
      <c r="E22" s="785"/>
      <c r="F22" s="1078" t="s">
        <v>1329</v>
      </c>
      <c r="G22" s="1111" t="str">
        <f t="shared" si="0"/>
        <v>13/14</v>
      </c>
      <c r="H22" s="448">
        <v>80000000</v>
      </c>
      <c r="I22" s="1072">
        <v>3</v>
      </c>
      <c r="J22" s="8">
        <f>ROUND(H22/I22,0)+4</f>
        <v>26666671</v>
      </c>
      <c r="K22" s="8">
        <v>33333330</v>
      </c>
      <c r="L22" s="8">
        <f t="shared" si="1"/>
        <v>60000001</v>
      </c>
      <c r="M22" s="1059"/>
      <c r="N22" s="785"/>
      <c r="O22" s="234"/>
      <c r="P22" s="1109" t="str">
        <f>IF(D22='THE-TS'!$D$11,"x","")</f>
        <v/>
      </c>
      <c r="Q22" s="1101"/>
    </row>
    <row r="23" spans="1:17" ht="21.75" customHeight="1">
      <c r="A23" s="1063">
        <v>5</v>
      </c>
      <c r="B23" s="1076" t="s">
        <v>1321</v>
      </c>
      <c r="C23" s="1038">
        <v>41890</v>
      </c>
      <c r="D23" s="350" t="s">
        <v>1276</v>
      </c>
      <c r="E23" s="785"/>
      <c r="F23" s="1078" t="s">
        <v>1329</v>
      </c>
      <c r="G23" s="1111" t="str">
        <f t="shared" si="0"/>
        <v>14/14</v>
      </c>
      <c r="H23" s="448">
        <v>50000000</v>
      </c>
      <c r="I23" s="1072">
        <v>3</v>
      </c>
      <c r="J23" s="8">
        <f>ROUND(H23/I23,0)-1</f>
        <v>16666666</v>
      </c>
      <c r="K23" s="8">
        <v>20833335</v>
      </c>
      <c r="L23" s="8">
        <f t="shared" si="1"/>
        <v>37500001</v>
      </c>
      <c r="M23" s="1059"/>
      <c r="N23" s="785"/>
      <c r="O23" s="234"/>
      <c r="P23" s="1109" t="str">
        <f>IF(D23='THE-TS'!$D$11,"x","")</f>
        <v/>
      </c>
      <c r="Q23" s="1101"/>
    </row>
    <row r="24" spans="1:17" ht="21.75" customHeight="1">
      <c r="A24" s="1063">
        <v>6</v>
      </c>
      <c r="B24" s="1076" t="s">
        <v>1322</v>
      </c>
      <c r="C24" s="1038">
        <v>41890</v>
      </c>
      <c r="D24" s="350" t="s">
        <v>1277</v>
      </c>
      <c r="E24" s="785"/>
      <c r="F24" s="1078" t="s">
        <v>1329</v>
      </c>
      <c r="G24" s="1111" t="str">
        <f t="shared" si="0"/>
        <v>15/14</v>
      </c>
      <c r="H24" s="448">
        <v>100000000</v>
      </c>
      <c r="I24" s="1072">
        <v>5</v>
      </c>
      <c r="J24" s="8">
        <f>ROUND(H24/I24,0)-5</f>
        <v>19999995</v>
      </c>
      <c r="K24" s="8">
        <v>25000005</v>
      </c>
      <c r="L24" s="8">
        <f t="shared" si="1"/>
        <v>45000000</v>
      </c>
      <c r="M24" s="1059"/>
      <c r="N24" s="785"/>
      <c r="O24" s="234"/>
      <c r="P24" s="1109" t="str">
        <f>IF(D24='THE-TS'!$D$11,"x","")</f>
        <v/>
      </c>
      <c r="Q24" s="1101"/>
    </row>
    <row r="25" spans="1:17" ht="21.75" customHeight="1">
      <c r="A25" s="1063">
        <v>7</v>
      </c>
      <c r="B25" s="1076" t="s">
        <v>1323</v>
      </c>
      <c r="C25" s="1038">
        <v>41890</v>
      </c>
      <c r="D25" s="350" t="s">
        <v>1278</v>
      </c>
      <c r="E25" s="785"/>
      <c r="F25" s="1078" t="s">
        <v>1329</v>
      </c>
      <c r="G25" s="1111" t="str">
        <f t="shared" si="0"/>
        <v>16/14</v>
      </c>
      <c r="H25" s="448">
        <v>100000000</v>
      </c>
      <c r="I25" s="1072">
        <v>5</v>
      </c>
      <c r="J25" s="8">
        <f>ROUND(H25/I25,0)-5</f>
        <v>19999995</v>
      </c>
      <c r="K25" s="8">
        <v>25000005</v>
      </c>
      <c r="L25" s="8">
        <f t="shared" si="1"/>
        <v>45000000</v>
      </c>
      <c r="M25" s="1059"/>
      <c r="N25" s="785"/>
      <c r="O25" s="234"/>
      <c r="P25" s="1109" t="str">
        <f>IF(D25='THE-TS'!$D$11,"x","")</f>
        <v>x</v>
      </c>
      <c r="Q25" s="1101"/>
    </row>
    <row r="26" spans="1:17" ht="21.75" customHeight="1">
      <c r="A26" s="1063">
        <v>8</v>
      </c>
      <c r="B26" s="1076" t="s">
        <v>1324</v>
      </c>
      <c r="C26" s="1038">
        <v>41890</v>
      </c>
      <c r="D26" s="350" t="s">
        <v>1279</v>
      </c>
      <c r="E26" s="785"/>
      <c r="F26" s="1078" t="s">
        <v>1329</v>
      </c>
      <c r="G26" s="1111" t="str">
        <f t="shared" si="0"/>
        <v>17/14</v>
      </c>
      <c r="H26" s="448">
        <v>110000000</v>
      </c>
      <c r="I26" s="1072">
        <v>5</v>
      </c>
      <c r="J26" s="8">
        <f>ROUND(H26/I26,0)+5</f>
        <v>22000005</v>
      </c>
      <c r="K26" s="8">
        <f>27499995</f>
        <v>27499995</v>
      </c>
      <c r="L26" s="8">
        <f t="shared" si="1"/>
        <v>49500000</v>
      </c>
      <c r="M26" s="1059"/>
      <c r="N26" s="785"/>
      <c r="O26" s="234"/>
      <c r="P26" s="1109" t="str">
        <f>IF(D26='THE-TS'!$D$11,"x","")</f>
        <v/>
      </c>
      <c r="Q26" s="1101"/>
    </row>
    <row r="27" spans="1:17" ht="21.75" customHeight="1">
      <c r="A27" s="1063">
        <v>8</v>
      </c>
      <c r="B27" s="1076" t="s">
        <v>1324</v>
      </c>
      <c r="C27" s="1038">
        <v>41890</v>
      </c>
      <c r="D27" s="350" t="s">
        <v>1279</v>
      </c>
      <c r="E27" s="785"/>
      <c r="F27" s="1078" t="s">
        <v>1329</v>
      </c>
      <c r="G27" s="1111" t="str">
        <f>RIGHT(B27,5)</f>
        <v>17/14</v>
      </c>
      <c r="H27" s="448">
        <v>110000000</v>
      </c>
      <c r="I27" s="1072">
        <v>5</v>
      </c>
      <c r="J27" s="8">
        <f>ROUND(H27/I27,0)+5</f>
        <v>22000005</v>
      </c>
      <c r="K27" s="8">
        <f>27499995</f>
        <v>27499995</v>
      </c>
      <c r="L27" s="8">
        <f>K27+J27</f>
        <v>49500000</v>
      </c>
      <c r="M27" s="1059"/>
      <c r="N27" s="785"/>
      <c r="O27" s="234"/>
      <c r="P27" s="1109" t="str">
        <f>IF(D27='THE-TS'!$D$11,"x","")</f>
        <v/>
      </c>
      <c r="Q27" s="1101"/>
    </row>
    <row r="28" spans="1:17" ht="21.75" customHeight="1">
      <c r="A28" s="1063">
        <v>8</v>
      </c>
      <c r="B28" s="1076" t="s">
        <v>1324</v>
      </c>
      <c r="C28" s="1038">
        <v>41890</v>
      </c>
      <c r="D28" s="350" t="s">
        <v>1279</v>
      </c>
      <c r="E28" s="785"/>
      <c r="F28" s="1078" t="s">
        <v>1329</v>
      </c>
      <c r="G28" s="1111" t="str">
        <f t="shared" si="0"/>
        <v>17/14</v>
      </c>
      <c r="H28" s="448">
        <v>110000000</v>
      </c>
      <c r="I28" s="1072">
        <v>5</v>
      </c>
      <c r="J28" s="8">
        <f>ROUND(H28/I28,0)+5</f>
        <v>22000005</v>
      </c>
      <c r="K28" s="8">
        <f>27499995</f>
        <v>27499995</v>
      </c>
      <c r="L28" s="8">
        <f t="shared" si="1"/>
        <v>49500000</v>
      </c>
      <c r="M28" s="1059"/>
      <c r="N28" s="785"/>
      <c r="O28" s="234"/>
      <c r="P28" s="1109" t="str">
        <f>IF(D28='THE-TS'!$D$11,"x","")</f>
        <v/>
      </c>
      <c r="Q28" s="1101"/>
    </row>
    <row r="29" spans="1:17" s="1036" customFormat="1" ht="21.75" customHeight="1">
      <c r="A29" s="1062" t="s">
        <v>1306</v>
      </c>
      <c r="B29" s="1066" t="s">
        <v>1307</v>
      </c>
      <c r="C29" s="1062"/>
      <c r="D29" s="1062"/>
      <c r="E29" s="1062"/>
      <c r="F29" s="1062"/>
      <c r="G29" s="1111"/>
      <c r="H29" s="1073"/>
      <c r="I29" s="1073"/>
      <c r="J29" s="8"/>
      <c r="K29" s="1073"/>
      <c r="L29" s="8"/>
      <c r="M29" s="1062"/>
      <c r="N29" s="1062"/>
      <c r="O29" s="234"/>
      <c r="P29" s="1109" t="str">
        <f>IF(D29='THE-TS'!$D$11,"x","")</f>
        <v/>
      </c>
      <c r="Q29" s="1101"/>
    </row>
    <row r="30" spans="1:17" ht="21.75" customHeight="1">
      <c r="A30" s="1063">
        <v>1</v>
      </c>
      <c r="B30" s="1078" t="s">
        <v>1314</v>
      </c>
      <c r="C30" s="1038">
        <v>40543</v>
      </c>
      <c r="D30" s="350" t="s">
        <v>1280</v>
      </c>
      <c r="E30" s="785" t="s">
        <v>1265</v>
      </c>
      <c r="F30" s="1078" t="s">
        <v>1338</v>
      </c>
      <c r="G30" s="1111" t="str">
        <f t="shared" si="0"/>
        <v>07/10</v>
      </c>
      <c r="H30" s="448">
        <v>2173860839</v>
      </c>
      <c r="I30" s="448">
        <v>5</v>
      </c>
      <c r="J30" s="8"/>
      <c r="K30" s="8">
        <v>2173860839</v>
      </c>
      <c r="L30" s="8">
        <f t="shared" si="1"/>
        <v>2173860839</v>
      </c>
      <c r="M30" s="785"/>
      <c r="N30" s="785"/>
      <c r="O30" s="234"/>
      <c r="P30" s="1109" t="str">
        <f>IF(D30='THE-TS'!$D$11,"x","")</f>
        <v/>
      </c>
      <c r="Q30" s="1101"/>
    </row>
    <row r="31" spans="1:17" ht="21.75" customHeight="1">
      <c r="A31" s="1063">
        <v>2</v>
      </c>
      <c r="B31" s="1078" t="s">
        <v>1315</v>
      </c>
      <c r="C31" s="1038">
        <v>40543</v>
      </c>
      <c r="D31" s="350" t="s">
        <v>1281</v>
      </c>
      <c r="E31" s="785" t="s">
        <v>1265</v>
      </c>
      <c r="F31" s="1078" t="s">
        <v>1338</v>
      </c>
      <c r="G31" s="1111" t="str">
        <f t="shared" si="0"/>
        <v>08/10</v>
      </c>
      <c r="H31" s="448">
        <v>1303180703</v>
      </c>
      <c r="I31" s="448">
        <v>10</v>
      </c>
      <c r="J31" s="8">
        <f>ROUND(H31/I31,0)+10</f>
        <v>130318080</v>
      </c>
      <c r="K31" s="8">
        <v>651590340</v>
      </c>
      <c r="L31" s="8">
        <f t="shared" si="1"/>
        <v>781908420</v>
      </c>
      <c r="M31" s="785"/>
      <c r="N31" s="785"/>
      <c r="O31" s="234"/>
      <c r="P31" s="1109" t="str">
        <f>IF(D31='THE-TS'!$D$11,"x","")</f>
        <v/>
      </c>
      <c r="Q31" s="1101"/>
    </row>
    <row r="32" spans="1:17" ht="21.75" customHeight="1">
      <c r="A32" s="1063">
        <v>3</v>
      </c>
      <c r="B32" s="1078" t="s">
        <v>1316</v>
      </c>
      <c r="C32" s="1038">
        <v>40543</v>
      </c>
      <c r="D32" s="350" t="s">
        <v>1282</v>
      </c>
      <c r="E32" s="785" t="s">
        <v>1265</v>
      </c>
      <c r="F32" s="1078" t="s">
        <v>1338</v>
      </c>
      <c r="G32" s="1111" t="str">
        <f t="shared" si="0"/>
        <v>09/10</v>
      </c>
      <c r="H32" s="448">
        <v>313876943</v>
      </c>
      <c r="I32" s="448">
        <v>10</v>
      </c>
      <c r="J32" s="8">
        <f>ROUND(H32/I32,0)+10</f>
        <v>31387704</v>
      </c>
      <c r="K32" s="8">
        <v>156938460</v>
      </c>
      <c r="L32" s="8">
        <f t="shared" si="1"/>
        <v>188326164</v>
      </c>
      <c r="M32" s="785"/>
      <c r="N32" s="785"/>
      <c r="O32" s="234"/>
      <c r="P32" s="1109" t="str">
        <f>IF(D32='THE-TS'!$D$11,"x","")</f>
        <v/>
      </c>
      <c r="Q32" s="1101"/>
    </row>
    <row r="33" spans="1:16" ht="21.75" customHeight="1">
      <c r="A33" s="1041"/>
      <c r="B33" s="1067"/>
      <c r="C33" s="1068"/>
      <c r="D33" s="1069"/>
      <c r="E33" s="1042"/>
      <c r="F33" s="1068"/>
      <c r="G33" s="1067"/>
      <c r="H33" s="1074"/>
      <c r="I33" s="1074"/>
      <c r="J33" s="532"/>
      <c r="K33" s="532"/>
      <c r="L33" s="532"/>
      <c r="M33" s="1042"/>
      <c r="N33" s="1042"/>
      <c r="O33" s="1042"/>
      <c r="P33" s="1109" t="str">
        <f>IF(D33='THE-TS'!$D$11,"x","")</f>
        <v/>
      </c>
    </row>
    <row r="34" spans="1:16" s="1048" customFormat="1" ht="21.75" customHeight="1">
      <c r="A34" s="1045"/>
      <c r="B34" s="1046"/>
      <c r="C34" s="1045"/>
      <c r="D34" s="1045" t="s">
        <v>1269</v>
      </c>
      <c r="E34" s="1045" t="s">
        <v>21</v>
      </c>
      <c r="F34" s="1045" t="s">
        <v>21</v>
      </c>
      <c r="G34" s="1045" t="s">
        <v>21</v>
      </c>
      <c r="H34" s="1075">
        <f>SUM(H13:H33)</f>
        <v>15089560996</v>
      </c>
      <c r="I34" s="1075"/>
      <c r="J34" s="1075">
        <f>SUM(J13:J33)</f>
        <v>609591633</v>
      </c>
      <c r="K34" s="1075">
        <f>SUM(K13:K33)</f>
        <v>9132359256</v>
      </c>
      <c r="L34" s="1075">
        <f>SUM(L13:L33)</f>
        <v>9741950889</v>
      </c>
      <c r="M34" s="1045" t="s">
        <v>21</v>
      </c>
      <c r="N34" s="1045" t="s">
        <v>21</v>
      </c>
      <c r="O34" s="1045" t="s">
        <v>21</v>
      </c>
      <c r="P34" s="1109" t="str">
        <f>IF(D34='THE-TS'!$D$11,"x","")</f>
        <v/>
      </c>
    </row>
    <row r="35" spans="1:16" ht="6.75" customHeight="1">
      <c r="A35" s="819"/>
      <c r="B35" s="819"/>
      <c r="C35" s="1049"/>
      <c r="D35" s="819"/>
      <c r="E35" s="1049"/>
      <c r="F35" s="1049"/>
      <c r="G35" s="1049"/>
      <c r="H35" s="819"/>
      <c r="I35" s="819"/>
      <c r="J35" s="819"/>
      <c r="K35" s="1050"/>
      <c r="L35" s="819"/>
      <c r="M35" s="819"/>
      <c r="N35" s="819"/>
      <c r="O35" s="819"/>
      <c r="P35" s="1109" t="str">
        <f>IF(D35='THE-TS'!$D$11,"x","")</f>
        <v/>
      </c>
    </row>
    <row r="36" spans="1:16" ht="13.5" customHeight="1">
      <c r="A36" s="819"/>
      <c r="B36" s="819"/>
      <c r="C36" s="1049"/>
      <c r="D36" s="819" t="s">
        <v>1270</v>
      </c>
      <c r="E36" s="819"/>
      <c r="F36" s="1049"/>
      <c r="G36" s="819"/>
      <c r="H36" s="1027"/>
      <c r="I36" s="1027"/>
      <c r="J36" s="1118"/>
      <c r="L36" s="1027"/>
      <c r="M36" s="819"/>
      <c r="N36" s="819"/>
      <c r="O36" s="819"/>
      <c r="P36" s="1109" t="str">
        <f>IF(D36='THE-TS'!$D$11,"x","")</f>
        <v/>
      </c>
    </row>
    <row r="37" spans="1:16" ht="13.5" customHeight="1">
      <c r="A37" s="819"/>
      <c r="B37" s="819"/>
      <c r="C37" s="1049"/>
      <c r="D37" s="819" t="s">
        <v>1301</v>
      </c>
      <c r="E37" s="819"/>
      <c r="F37" s="1049"/>
      <c r="G37" s="819"/>
      <c r="H37" s="1060"/>
      <c r="I37" s="819"/>
      <c r="J37" s="1070"/>
      <c r="K37" s="1050"/>
      <c r="L37" s="819"/>
      <c r="M37" s="819"/>
      <c r="N37" s="819"/>
      <c r="O37" s="819"/>
      <c r="P37" s="1109" t="str">
        <f>IF(D37='THE-TS'!$D$11,"x","")</f>
        <v/>
      </c>
    </row>
    <row r="38" spans="1:16" ht="13.5" customHeight="1">
      <c r="K38" s="1051"/>
      <c r="L38" s="1030" t="s">
        <v>1302</v>
      </c>
      <c r="P38" s="1109" t="str">
        <f>IF(D38='THE-TS'!$D$11,"x","")</f>
        <v/>
      </c>
    </row>
    <row r="39" spans="1:16" ht="13.5" customHeight="1">
      <c r="B39" s="1026"/>
      <c r="D39" s="1026" t="s">
        <v>11</v>
      </c>
      <c r="F39" s="1026" t="s">
        <v>1271</v>
      </c>
      <c r="I39" s="1052"/>
      <c r="K39" s="1049"/>
      <c r="L39" s="1049" t="s">
        <v>131</v>
      </c>
      <c r="P39" s="1109" t="str">
        <f>IF(D39='THE-TS'!$D$11,"x","")</f>
        <v/>
      </c>
    </row>
    <row r="40" spans="1:16" ht="13.5" customHeight="1">
      <c r="B40" s="1026"/>
      <c r="D40" s="1026"/>
      <c r="P40" s="1109" t="str">
        <f>IF(D40='THE-TS'!$D$11,"x","")</f>
        <v/>
      </c>
    </row>
    <row r="41" spans="1:16" ht="13.5" customHeight="1">
      <c r="H41" s="1053"/>
      <c r="J41" s="1053"/>
      <c r="L41" s="1053"/>
      <c r="P41" s="1109" t="str">
        <f>IF(D41='THE-TS'!$D$11,"x","")</f>
        <v/>
      </c>
    </row>
    <row r="42" spans="1:16" ht="13.5" customHeight="1">
      <c r="H42" s="1054"/>
      <c r="P42" s="1109" t="str">
        <f>IF(D42='THE-TS'!$D$11,"x","")</f>
        <v/>
      </c>
    </row>
    <row r="43" spans="1:16" ht="13.5" customHeight="1">
      <c r="H43" s="1054"/>
      <c r="J43" s="1053"/>
      <c r="P43" s="1109" t="str">
        <f>IF(D43='THE-TS'!$D$11,"x","")</f>
        <v/>
      </c>
    </row>
    <row r="44" spans="1:16" ht="13.5" customHeight="1">
      <c r="H44" s="1054"/>
      <c r="P44" s="1109" t="str">
        <f>IF(D44='THE-TS'!$D$11,"x","")</f>
        <v/>
      </c>
    </row>
    <row r="45" spans="1:16" ht="13.5" customHeight="1">
      <c r="H45" s="1054"/>
      <c r="P45" s="1109" t="str">
        <f>IF(D45='THE-TS'!$D$11,"x","")</f>
        <v/>
      </c>
    </row>
    <row r="46" spans="1:16" s="1055" customFormat="1" ht="13.5" customHeight="1">
      <c r="C46" s="1056"/>
      <c r="D46" s="1056" t="s">
        <v>230</v>
      </c>
      <c r="F46" s="1056"/>
      <c r="H46" s="1057"/>
      <c r="K46" s="1058"/>
      <c r="L46" s="1055" t="s">
        <v>125</v>
      </c>
      <c r="P46" s="1109" t="str">
        <f>IF(D46='THE-TS'!$D$11,"x","")</f>
        <v/>
      </c>
    </row>
    <row r="47" spans="1:16" ht="13.5">
      <c r="P47" s="1109" t="str">
        <f>IF(D47='THE-TS'!$D$11,"x","")</f>
        <v/>
      </c>
    </row>
    <row r="48" spans="1:16" ht="13.5" customHeight="1">
      <c r="H48" s="1054"/>
      <c r="P48" s="1109" t="str">
        <f>IF(D48='THE-TS'!$D$11,"x","")</f>
        <v/>
      </c>
    </row>
    <row r="49" spans="1:17" ht="13.5">
      <c r="P49" s="1109" t="str">
        <f>IF(D49='THE-TS'!$D$11,"x","")</f>
        <v/>
      </c>
    </row>
    <row r="50" spans="1:17" ht="13.5">
      <c r="P50" s="1109" t="str">
        <f>IF(D50='THE-TS'!$D$11,"x","")</f>
        <v/>
      </c>
    </row>
    <row r="51" spans="1:17" ht="13.5">
      <c r="P51" s="1109" t="str">
        <f>IF(D51='THE-TS'!$D$11,"x","")</f>
        <v/>
      </c>
    </row>
    <row r="52" spans="1:17" ht="13.5">
      <c r="A52" s="1024" t="s">
        <v>1240</v>
      </c>
      <c r="L52" s="1028"/>
      <c r="M52" s="1028"/>
      <c r="N52" s="1029" t="s">
        <v>1241</v>
      </c>
      <c r="O52" s="1028"/>
      <c r="P52" s="1109" t="str">
        <f>IF(D52='THE-TS'!$D$11,"x","")</f>
        <v/>
      </c>
    </row>
    <row r="53" spans="1:17" ht="13.5">
      <c r="A53" s="1024" t="s">
        <v>1242</v>
      </c>
      <c r="L53" s="1027"/>
      <c r="M53" s="1027"/>
      <c r="N53" s="1030" t="s">
        <v>320</v>
      </c>
      <c r="O53" s="1027"/>
      <c r="P53" s="1109" t="str">
        <f>IF(D53='THE-TS'!$D$11,"x","")</f>
        <v/>
      </c>
    </row>
    <row r="54" spans="1:17" ht="13.5">
      <c r="L54" s="1027"/>
      <c r="M54" s="1027"/>
      <c r="N54" s="1030" t="s">
        <v>238</v>
      </c>
      <c r="O54" s="1027"/>
      <c r="P54" s="1109" t="str">
        <f>IF(D54='THE-TS'!$D$11,"x","")</f>
        <v/>
      </c>
    </row>
    <row r="55" spans="1:17" ht="13.5">
      <c r="P55" s="1109" t="str">
        <f>IF(D55='THE-TS'!$D$11,"x","")</f>
        <v/>
      </c>
    </row>
    <row r="56" spans="1:17" s="1120" customFormat="1" ht="28.5" customHeight="1">
      <c r="A56" s="1411" t="s">
        <v>1243</v>
      </c>
      <c r="B56" s="1411"/>
      <c r="C56" s="1411"/>
      <c r="D56" s="1411"/>
      <c r="E56" s="1411"/>
      <c r="F56" s="1411"/>
      <c r="G56" s="1411"/>
      <c r="H56" s="1411"/>
      <c r="I56" s="1411"/>
      <c r="J56" s="1411"/>
      <c r="K56" s="1411"/>
      <c r="L56" s="1411"/>
      <c r="M56" s="1411"/>
      <c r="N56" s="1411"/>
      <c r="O56" s="1411"/>
      <c r="P56" s="1119" t="str">
        <f>IF(D56='THE-TS'!$D$11,"x","")</f>
        <v/>
      </c>
    </row>
    <row r="57" spans="1:17" s="1031" customFormat="1" ht="19.5" customHeight="1">
      <c r="A57" s="1412" t="s">
        <v>1300</v>
      </c>
      <c r="B57" s="1412"/>
      <c r="C57" s="1412"/>
      <c r="D57" s="1412"/>
      <c r="E57" s="1412"/>
      <c r="F57" s="1412"/>
      <c r="G57" s="1412"/>
      <c r="H57" s="1412"/>
      <c r="I57" s="1412"/>
      <c r="J57" s="1412"/>
      <c r="K57" s="1412"/>
      <c r="L57" s="1412"/>
      <c r="M57" s="1412"/>
      <c r="N57" s="1412"/>
      <c r="O57" s="1412"/>
      <c r="P57" s="1109" t="str">
        <f>IF(D57='THE-TS'!$D$11,"x","")</f>
        <v/>
      </c>
    </row>
    <row r="58" spans="1:17" s="1031" customFormat="1" ht="19.5" customHeight="1">
      <c r="A58" s="1413" t="s">
        <v>1309</v>
      </c>
      <c r="B58" s="1413"/>
      <c r="C58" s="1413"/>
      <c r="D58" s="1413"/>
      <c r="E58" s="1413"/>
      <c r="F58" s="1413"/>
      <c r="G58" s="1413"/>
      <c r="H58" s="1413"/>
      <c r="I58" s="1413"/>
      <c r="J58" s="1413"/>
      <c r="K58" s="1413"/>
      <c r="L58" s="1413"/>
      <c r="M58" s="1413"/>
      <c r="N58" s="1413"/>
      <c r="O58" s="1413"/>
      <c r="P58" s="1109" t="str">
        <f>IF(D58='THE-TS'!$D$11,"x","")</f>
        <v/>
      </c>
    </row>
    <row r="59" spans="1:17" ht="13.5">
      <c r="D59" s="1026"/>
      <c r="P59" s="1109" t="str">
        <f>IF(D59='THE-TS'!$D$11,"x","")</f>
        <v/>
      </c>
    </row>
    <row r="60" spans="1:17" s="1032" customFormat="1" ht="17.25" customHeight="1">
      <c r="A60" s="1402" t="s">
        <v>501</v>
      </c>
      <c r="B60" s="1405" t="s">
        <v>1244</v>
      </c>
      <c r="C60" s="1406"/>
      <c r="D60" s="1406"/>
      <c r="E60" s="1406"/>
      <c r="F60" s="1406"/>
      <c r="G60" s="1406"/>
      <c r="H60" s="1407"/>
      <c r="I60" s="1405" t="s">
        <v>1245</v>
      </c>
      <c r="J60" s="1406"/>
      <c r="K60" s="1406"/>
      <c r="L60" s="1407"/>
      <c r="M60" s="1408" t="s">
        <v>1246</v>
      </c>
      <c r="N60" s="1408"/>
      <c r="O60" s="1408"/>
      <c r="P60" s="1109" t="str">
        <f>IF(D60='THE-TS'!$D$11,"x","")</f>
        <v/>
      </c>
    </row>
    <row r="61" spans="1:17" s="1032" customFormat="1" ht="17.25" customHeight="1">
      <c r="A61" s="1403"/>
      <c r="B61" s="1405" t="s">
        <v>1247</v>
      </c>
      <c r="C61" s="1407"/>
      <c r="D61" s="1402" t="s">
        <v>1248</v>
      </c>
      <c r="E61" s="1402" t="s">
        <v>1249</v>
      </c>
      <c r="F61" s="1402" t="s">
        <v>1250</v>
      </c>
      <c r="G61" s="1402" t="s">
        <v>1251</v>
      </c>
      <c r="H61" s="1402" t="s">
        <v>1252</v>
      </c>
      <c r="I61" s="1405" t="s">
        <v>1253</v>
      </c>
      <c r="J61" s="1407"/>
      <c r="K61" s="1409" t="s">
        <v>1254</v>
      </c>
      <c r="L61" s="1402" t="s">
        <v>1255</v>
      </c>
      <c r="M61" s="1408" t="s">
        <v>1247</v>
      </c>
      <c r="N61" s="1408"/>
      <c r="O61" s="1408" t="s">
        <v>1256</v>
      </c>
      <c r="P61" s="1109" t="str">
        <f>IF(D61='THE-TS'!$D$11,"x","")</f>
        <v/>
      </c>
    </row>
    <row r="62" spans="1:17" s="1032" customFormat="1" ht="55.5" customHeight="1">
      <c r="A62" s="1404"/>
      <c r="B62" s="1033" t="s">
        <v>1257</v>
      </c>
      <c r="C62" s="1033" t="s">
        <v>502</v>
      </c>
      <c r="D62" s="1404"/>
      <c r="E62" s="1404"/>
      <c r="F62" s="1404"/>
      <c r="G62" s="1404"/>
      <c r="H62" s="1404"/>
      <c r="I62" s="1033" t="s">
        <v>1258</v>
      </c>
      <c r="J62" s="1033" t="s">
        <v>1259</v>
      </c>
      <c r="K62" s="1410"/>
      <c r="L62" s="1404"/>
      <c r="M62" s="1033" t="s">
        <v>17</v>
      </c>
      <c r="N62" s="1033" t="s">
        <v>502</v>
      </c>
      <c r="O62" s="1408"/>
      <c r="P62" s="1109" t="str">
        <f>IF(D62='THE-TS'!$D$11,"x","")</f>
        <v/>
      </c>
    </row>
    <row r="63" spans="1:17" s="1036" customFormat="1" ht="13.5">
      <c r="A63" s="1034" t="s">
        <v>2</v>
      </c>
      <c r="B63" s="1034" t="s">
        <v>3</v>
      </c>
      <c r="C63" s="1034" t="s">
        <v>4</v>
      </c>
      <c r="D63" s="1034" t="s">
        <v>5</v>
      </c>
      <c r="E63" s="1034" t="s">
        <v>6</v>
      </c>
      <c r="F63" s="1034" t="s">
        <v>156</v>
      </c>
      <c r="G63" s="1034" t="s">
        <v>1260</v>
      </c>
      <c r="H63" s="1034">
        <v>1</v>
      </c>
      <c r="I63" s="1034">
        <v>2</v>
      </c>
      <c r="J63" s="1034">
        <v>3</v>
      </c>
      <c r="K63" s="1035"/>
      <c r="L63" s="1034">
        <v>4</v>
      </c>
      <c r="M63" s="1034" t="s">
        <v>1261</v>
      </c>
      <c r="N63" s="1034" t="s">
        <v>1262</v>
      </c>
      <c r="O63" s="1034" t="s">
        <v>1263</v>
      </c>
      <c r="P63" s="1109" t="str">
        <f>IF(D63='THE-TS'!$D$11,"x","")</f>
        <v/>
      </c>
    </row>
    <row r="64" spans="1:17" ht="15.75" customHeight="1">
      <c r="A64" s="1037">
        <v>1</v>
      </c>
      <c r="B64" s="1076" t="s">
        <v>1332</v>
      </c>
      <c r="C64" s="1038">
        <v>40543</v>
      </c>
      <c r="D64" s="350" t="s">
        <v>1283</v>
      </c>
      <c r="E64" s="780"/>
      <c r="F64" s="1078" t="s">
        <v>1338</v>
      </c>
      <c r="G64" s="1111" t="str">
        <f>RIGHT(B64,5)</f>
        <v>10/10</v>
      </c>
      <c r="H64" s="350">
        <v>5405781300</v>
      </c>
      <c r="I64" s="1040">
        <v>45</v>
      </c>
      <c r="J64" s="8">
        <f>ROUND(H64/I64,0)+5</f>
        <v>120128478</v>
      </c>
      <c r="K64" s="1039">
        <v>600642360</v>
      </c>
      <c r="L64" s="1039">
        <f>K64+J64</f>
        <v>720770838</v>
      </c>
      <c r="M64" s="780"/>
      <c r="N64" s="780"/>
      <c r="O64" s="234"/>
      <c r="P64" s="1109" t="str">
        <f>IF(D64='THE-TS'!$D$11,"x","")</f>
        <v/>
      </c>
      <c r="Q64" s="1101"/>
    </row>
    <row r="65" spans="1:16" ht="15.75" customHeight="1">
      <c r="A65" s="1041"/>
      <c r="B65" s="1042"/>
      <c r="C65" s="1041"/>
      <c r="D65" s="1042"/>
      <c r="E65" s="1042"/>
      <c r="F65" s="1041"/>
      <c r="G65" s="1042"/>
      <c r="H65" s="1042"/>
      <c r="I65" s="1043"/>
      <c r="J65" s="1042"/>
      <c r="K65" s="1044"/>
      <c r="L65" s="1042"/>
      <c r="M65" s="1042"/>
      <c r="N65" s="1042"/>
      <c r="O65" s="1042"/>
      <c r="P65" s="1109" t="str">
        <f>IF(D65='THE-TS'!$D$11,"x","")</f>
        <v/>
      </c>
    </row>
    <row r="66" spans="1:16" s="1048" customFormat="1" ht="15.75" customHeight="1">
      <c r="A66" s="1045"/>
      <c r="B66" s="1046"/>
      <c r="C66" s="1045"/>
      <c r="D66" s="1045" t="s">
        <v>1269</v>
      </c>
      <c r="E66" s="1046"/>
      <c r="F66" s="1045"/>
      <c r="G66" s="1046"/>
      <c r="H66" s="1047">
        <f>SUM(H64:H65)</f>
        <v>5405781300</v>
      </c>
      <c r="I66" s="1047"/>
      <c r="J66" s="1047">
        <f>SUM(J64:J65)</f>
        <v>120128478</v>
      </c>
      <c r="K66" s="1047">
        <f>SUM(K64:K65)</f>
        <v>600642360</v>
      </c>
      <c r="L66" s="1047">
        <f>SUM(L64:L65)</f>
        <v>720770838</v>
      </c>
      <c r="M66" s="1046"/>
      <c r="N66" s="1046"/>
      <c r="O66" s="1046"/>
      <c r="P66" s="1109" t="str">
        <f>IF(D66='THE-TS'!$D$11,"x","")</f>
        <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1270</v>
      </c>
      <c r="E68" s="819"/>
      <c r="F68" s="1049"/>
      <c r="G68" s="819"/>
      <c r="H68" s="819"/>
      <c r="I68" s="819"/>
      <c r="J68" s="819"/>
      <c r="K68" s="1050"/>
      <c r="L68" s="819"/>
      <c r="M68" s="819"/>
      <c r="N68" s="819"/>
      <c r="O68" s="819"/>
    </row>
    <row r="69" spans="1:16">
      <c r="A69" s="819"/>
      <c r="B69" s="819"/>
      <c r="C69" s="1049"/>
      <c r="D69" s="819" t="s">
        <v>1301</v>
      </c>
      <c r="E69" s="819"/>
      <c r="F69" s="1049"/>
      <c r="G69" s="819"/>
      <c r="I69" s="819"/>
      <c r="J69" s="819"/>
      <c r="K69" s="1050"/>
      <c r="L69" s="819"/>
      <c r="M69" s="819"/>
      <c r="N69" s="819"/>
      <c r="O69" s="819"/>
    </row>
    <row r="70" spans="1:16">
      <c r="K70" s="1030"/>
      <c r="L70" s="1030" t="s">
        <v>1302</v>
      </c>
    </row>
    <row r="71" spans="1:16" ht="16.5" customHeight="1">
      <c r="B71" s="1026"/>
      <c r="D71" s="1026" t="s">
        <v>11</v>
      </c>
      <c r="F71" s="1026" t="s">
        <v>1271</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1240</v>
      </c>
      <c r="B2" s="1079"/>
      <c r="C2" s="1079"/>
      <c r="D2" s="1079"/>
      <c r="E2" s="1029"/>
      <c r="F2" s="1029"/>
      <c r="G2" s="1029" t="s">
        <v>1284</v>
      </c>
      <c r="H2" s="1029"/>
    </row>
    <row r="3" spans="1:11">
      <c r="A3" s="1097" t="s">
        <v>1242</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28" t="s">
        <v>1285</v>
      </c>
      <c r="B6" s="1428"/>
      <c r="C6" s="1428"/>
      <c r="D6" s="1428"/>
      <c r="E6" s="1428"/>
      <c r="F6" s="1428"/>
      <c r="G6" s="1428"/>
      <c r="H6" s="1428"/>
    </row>
    <row r="7" spans="1:11" ht="17.25" customHeight="1" thickBot="1">
      <c r="A7" s="1414" t="str">
        <f ca="1" xml:space="preserve"> IF(ROWS($1:1)&gt;COUNT(Dong3),"","Số: "&amp;OFFSET('SO-TS'!$B$1,SMALL(Dong3,ROWS($1:1)),))</f>
        <v>Số: SX 16/14</v>
      </c>
      <c r="B7" s="1414"/>
      <c r="C7" s="1414"/>
      <c r="D7" s="1414"/>
      <c r="E7" s="1414"/>
      <c r="F7" s="1414"/>
      <c r="G7" s="1414"/>
      <c r="H7" s="1414"/>
      <c r="J7" s="1098" t="s">
        <v>1325</v>
      </c>
      <c r="K7" s="1099" t="s">
        <v>1368</v>
      </c>
    </row>
    <row r="8" spans="1:11" ht="17.25" customHeight="1">
      <c r="A8" s="1429" t="str">
        <f ca="1" xml:space="preserve"> IF(ROWS($1:1)&gt;COUNT(Dong3),"","Ngày   "&amp;DAY(OFFSET('SO-TS'!$C$1,SMALL(Dong3,ROWS($1:1)),))&amp;"   tháng   "&amp;MONTH(OFFSET('SO-TS'!$C$1,SMALL(Dong3,ROWS($1:1)),))&amp;"  năm   "&amp;YEAR(OFFSET('SO-TS'!$C$1,SMALL(Dong3,ROWS($1:1)),)))</f>
        <v>Ngày   8   tháng   9  năm   2014</v>
      </c>
      <c r="B8" s="1429"/>
      <c r="C8" s="1429"/>
      <c r="D8" s="1429"/>
      <c r="E8" s="1429"/>
      <c r="F8" s="1429"/>
      <c r="G8" s="1429"/>
      <c r="H8" s="1429"/>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1326</v>
      </c>
      <c r="B11" s="1025"/>
      <c r="C11" s="1025"/>
      <c r="D11" s="1025" t="s">
        <v>1278</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1327</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1286</v>
      </c>
      <c r="B14" s="1025"/>
      <c r="C14" s="1025"/>
      <c r="D14" s="1025"/>
      <c r="E14" s="1025"/>
      <c r="F14" s="1025"/>
      <c r="G14" s="1025"/>
      <c r="H14" s="1025"/>
    </row>
    <row r="15" spans="1:11" ht="15" customHeight="1">
      <c r="A15" s="1025" t="s">
        <v>1340</v>
      </c>
      <c r="B15" s="1025"/>
      <c r="C15" s="1025"/>
      <c r="D15" s="1025"/>
      <c r="E15" s="1025"/>
      <c r="F15" s="1025"/>
      <c r="G15" s="1025"/>
      <c r="H15" s="1025"/>
    </row>
    <row r="16" spans="1:11" ht="15" customHeight="1">
      <c r="A16" s="1100" t="s">
        <v>1339</v>
      </c>
      <c r="B16" s="1100"/>
      <c r="C16" s="1100"/>
      <c r="D16" s="1100"/>
      <c r="E16" s="1100"/>
      <c r="F16" s="1100"/>
      <c r="G16" s="1100"/>
      <c r="H16" s="1100"/>
    </row>
    <row r="17" spans="1:8" s="1094" customFormat="1" ht="18" customHeight="1">
      <c r="A17" s="1418" t="s">
        <v>150</v>
      </c>
      <c r="B17" s="1419"/>
      <c r="C17" s="1422" t="s">
        <v>1287</v>
      </c>
      <c r="D17" s="1423"/>
      <c r="E17" s="1424"/>
      <c r="F17" s="1425" t="s">
        <v>1288</v>
      </c>
      <c r="G17" s="1426"/>
      <c r="H17" s="1427"/>
    </row>
    <row r="18" spans="1:8" s="1094" customFormat="1" ht="28.5" customHeight="1">
      <c r="A18" s="1420"/>
      <c r="B18" s="1421"/>
      <c r="C18" s="1061" t="s">
        <v>1289</v>
      </c>
      <c r="D18" s="1061" t="s">
        <v>0</v>
      </c>
      <c r="E18" s="1061" t="s">
        <v>1290</v>
      </c>
      <c r="F18" s="1061" t="s">
        <v>1291</v>
      </c>
      <c r="G18" s="1061" t="s">
        <v>1292</v>
      </c>
      <c r="H18" s="1061" t="s">
        <v>1293</v>
      </c>
    </row>
    <row r="19" spans="1:8" s="1096" customFormat="1">
      <c r="A19" s="1430" t="s">
        <v>2</v>
      </c>
      <c r="B19" s="1431"/>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1294</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32" t="s">
        <v>1295</v>
      </c>
      <c r="B33" s="1432"/>
      <c r="C33" s="1432"/>
      <c r="D33" s="1432"/>
      <c r="E33" s="1432"/>
      <c r="F33" s="1432"/>
      <c r="G33" s="1432"/>
      <c r="H33" s="1432"/>
    </row>
    <row r="34" spans="1:8" ht="27" customHeight="1">
      <c r="A34" s="1045" t="s">
        <v>37</v>
      </c>
      <c r="B34" s="1405" t="s">
        <v>1296</v>
      </c>
      <c r="C34" s="1407"/>
      <c r="D34" s="1084" t="s">
        <v>327</v>
      </c>
      <c r="E34" s="1084" t="s">
        <v>1297</v>
      </c>
      <c r="F34" s="1084" t="s">
        <v>1298</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33" t="str">
        <f ca="1" xml:space="preserve"> IF(ROWS($1:1)&gt;COUNT(Dong3),"","Ghi giảm TSCĐ chứng từ số:  "&amp;OFFSET('SO-TS'!$M$1,SMALL(Dong3,ROWS($1:1)),))</f>
        <v xml:space="preserve">Ghi giảm TSCĐ chứng từ số:  </v>
      </c>
      <c r="B42" s="1433"/>
      <c r="C42" s="1433"/>
      <c r="D42" s="1433"/>
      <c r="E42" s="1433"/>
      <c r="F42" s="1433"/>
      <c r="G42" s="1433"/>
      <c r="H42" s="1433"/>
    </row>
    <row r="43" spans="1:8">
      <c r="A43" s="1433" t="str">
        <f ca="1" xml:space="preserve"> IF(ROWS($1:1)&gt;COUNT(Dong3),"","Lý do giảm:   "&amp;OFFSET('SO-TS'!$O$1,SMALL(Dong3,ROWS($1:1)),))</f>
        <v xml:space="preserve">Lý do giảm:   </v>
      </c>
      <c r="B43" s="1433"/>
      <c r="C43" s="1433"/>
      <c r="D43" s="1433"/>
      <c r="E43" s="1433"/>
      <c r="F43" s="1433"/>
      <c r="G43" s="1433"/>
      <c r="H43" s="1433"/>
    </row>
    <row r="44" spans="1:8">
      <c r="A44" s="1056"/>
      <c r="B44" s="1056"/>
      <c r="C44" s="1051"/>
      <c r="D44" s="1051"/>
      <c r="E44" s="1417" t="s">
        <v>1341</v>
      </c>
      <c r="F44" s="1417"/>
      <c r="G44" s="1417"/>
      <c r="H44" s="1417"/>
    </row>
    <row r="45" spans="1:8">
      <c r="A45" s="1414" t="s">
        <v>1299</v>
      </c>
      <c r="B45" s="1414"/>
      <c r="C45" s="1414" t="s">
        <v>12</v>
      </c>
      <c r="D45" s="1414"/>
      <c r="E45" s="1415" t="s">
        <v>131</v>
      </c>
      <c r="F45" s="1415"/>
      <c r="G45" s="1415"/>
      <c r="H45" s="1415"/>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16" t="s">
        <v>230</v>
      </c>
      <c r="B53" s="1416"/>
      <c r="C53" s="1051"/>
      <c r="D53" s="1051"/>
      <c r="E53" s="1417" t="s">
        <v>125</v>
      </c>
      <c r="F53" s="1417"/>
      <c r="G53" s="1417"/>
      <c r="H53" s="1417"/>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36"/>
      <c r="E1" s="1436"/>
      <c r="F1" s="1436"/>
      <c r="G1" s="1436"/>
      <c r="I1" s="1436" t="s">
        <v>255</v>
      </c>
      <c r="J1" s="1436"/>
      <c r="K1" s="1436"/>
      <c r="L1" s="1436"/>
    </row>
    <row r="2" spans="1:12">
      <c r="A2" s="387" t="s">
        <v>139</v>
      </c>
      <c r="D2" s="1436"/>
      <c r="E2" s="1436"/>
      <c r="F2" s="1436"/>
      <c r="G2" s="1436"/>
      <c r="I2" s="1436" t="s">
        <v>237</v>
      </c>
      <c r="J2" s="1436"/>
      <c r="K2" s="1436"/>
      <c r="L2" s="1436"/>
    </row>
    <row r="3" spans="1:12">
      <c r="D3" s="1436"/>
      <c r="E3" s="1436"/>
      <c r="F3" s="1436"/>
      <c r="G3" s="1436"/>
      <c r="I3" s="1436" t="s">
        <v>256</v>
      </c>
      <c r="J3" s="1436"/>
      <c r="K3" s="1436"/>
      <c r="L3" s="1436"/>
    </row>
    <row r="8" spans="1:12" ht="40.5" customHeight="1">
      <c r="H8" s="428"/>
      <c r="I8" s="428"/>
      <c r="J8" s="428"/>
    </row>
    <row r="10" spans="1:12" ht="29.25" customHeight="1">
      <c r="A10" s="1434" t="s">
        <v>112</v>
      </c>
      <c r="B10" s="1434"/>
      <c r="C10" s="1434"/>
      <c r="D10" s="1434"/>
      <c r="E10" s="1434"/>
      <c r="F10" s="1434"/>
      <c r="G10" s="1434"/>
    </row>
    <row r="11" spans="1:12" ht="6" customHeight="1">
      <c r="H11" s="429"/>
      <c r="I11" s="429"/>
    </row>
    <row r="12" spans="1:12" ht="20.25">
      <c r="A12" s="1435" t="s">
        <v>257</v>
      </c>
      <c r="B12" s="1435"/>
      <c r="C12" s="1435"/>
      <c r="D12" s="1435"/>
      <c r="E12" s="1435"/>
      <c r="F12" s="1435"/>
      <c r="G12" s="1435"/>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2016-04-07T03:36:28Z</cp:lastPrinted>
  <dcterms:created xsi:type="dcterms:W3CDTF">1996-10-14T23:33:28Z</dcterms:created>
  <dcterms:modified xsi:type="dcterms:W3CDTF">2016-07-05T07:39:34Z</dcterms:modified>
</cp:coreProperties>
</file>