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385" windowWidth="21840" windowHeight="7695" activeTab="7"/>
  </bookViews>
  <sheets>
    <sheet name="01-17" sheetId="16" r:id="rId1"/>
    <sheet name="02-17" sheetId="17" r:id="rId2"/>
    <sheet name="05-17" sheetId="19" r:id="rId3"/>
    <sheet name="06-17" sheetId="20" r:id="rId4"/>
    <sheet name="07-17" sheetId="21" r:id="rId5"/>
    <sheet name="08-17" sheetId="22" r:id="rId6"/>
    <sheet name="09-17" sheetId="24" r:id="rId7"/>
    <sheet name="10-17" sheetId="25" r:id="rId8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xlnm._FilterDatabase" localSheetId="0" hidden="1">'01-17'!$A$3:$R$27</definedName>
    <definedName name="_xlnm._FilterDatabase" localSheetId="1" hidden="1">'02-17'!$A$3:$S$22</definedName>
    <definedName name="_xlnm._FilterDatabase" localSheetId="2" hidden="1">'05-17'!$A$3:$S$19</definedName>
    <definedName name="_xlnm._FilterDatabase" localSheetId="3" hidden="1">'06-17'!$A$3:$S$19</definedName>
    <definedName name="_xlnm._FilterDatabase" localSheetId="4" hidden="1">'07-17'!$A$3:$S$19</definedName>
    <definedName name="_xlnm._FilterDatabase" localSheetId="5" hidden="1">'08-17'!$A$3:$S$19</definedName>
    <definedName name="_xlnm._FilterDatabase" localSheetId="6" hidden="1">'09-17'!$A$3:$S$19</definedName>
    <definedName name="_xlnm._FilterDatabase" localSheetId="7" hidden="1">'10-17'!$A$3:$S$22</definedName>
    <definedName name="Dong" localSheetId="7">IF('10-17'!Loai="p1",ROW('10-17'!Loai)-1,"")</definedName>
    <definedName name="Dong">IF(Loai="p1",ROW(Loai)-1,"")</definedName>
    <definedName name="DS" localSheetId="7">#REF!</definedName>
    <definedName name="DS">#REF!</definedName>
    <definedName name="Loai" localSheetId="7">OFFSET(#REF!,,,COUNTA(#REF!))</definedName>
    <definedName name="Loai">OFFSET(#REF!,,,COUNTA(#REF!))</definedName>
    <definedName name="N_1" localSheetId="7">#REF!</definedName>
    <definedName name="N_1">#REF!</definedName>
    <definedName name="_xlnm.Print_Area" localSheetId="4">'07-17'!$A$20:$S$36</definedName>
    <definedName name="_xlnm.Print_Area" localSheetId="5">'08-17'!$A$20:$S$36</definedName>
    <definedName name="_xlnm.Print_Area" localSheetId="6">'09-17'!$A$20:$S$36</definedName>
    <definedName name="_xlnm.Print_Area" localSheetId="7">'10-17'!$A$23:$S$39</definedName>
    <definedName name="_xlnm.Print_Titles" localSheetId="0">'01-17'!$2:$3</definedName>
    <definedName name="_xlnm.Print_Titles" localSheetId="1">'02-17'!$2:$3</definedName>
    <definedName name="_xlnm.Print_Titles" localSheetId="2">'05-17'!$2:$3</definedName>
    <definedName name="_xlnm.Print_Titles" localSheetId="3">'06-17'!$2:$3</definedName>
    <definedName name="_xlnm.Print_Titles" localSheetId="4">'07-17'!$2:$3</definedName>
    <definedName name="_xlnm.Print_Titles" localSheetId="5">'08-17'!$2:$3</definedName>
    <definedName name="_xlnm.Print_Titles" localSheetId="6">'09-17'!$2:$3</definedName>
    <definedName name="_xlnm.Print_Titles" localSheetId="7">'10-17'!$2:$3</definedName>
  </definedNames>
  <calcPr calcId="144525"/>
</workbook>
</file>

<file path=xl/calcChain.xml><?xml version="1.0" encoding="utf-8"?>
<calcChain xmlns="http://schemas.openxmlformats.org/spreadsheetml/2006/main">
  <c r="P4" i="25" l="1"/>
  <c r="P19" i="25"/>
  <c r="O19" i="25"/>
  <c r="L19" i="25"/>
  <c r="A19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P17" i="25"/>
  <c r="O17" i="25"/>
  <c r="L17" i="25"/>
  <c r="P16" i="25"/>
  <c r="O16" i="25"/>
  <c r="L16" i="25"/>
  <c r="P15" i="25"/>
  <c r="O15" i="25"/>
  <c r="L15" i="25"/>
  <c r="N39" i="25"/>
  <c r="J39" i="25"/>
  <c r="I39" i="25"/>
  <c r="G39" i="25"/>
  <c r="F39" i="25"/>
  <c r="E39" i="25"/>
  <c r="P37" i="25"/>
  <c r="O37" i="25"/>
  <c r="L37" i="25"/>
  <c r="L39" i="25" s="1"/>
  <c r="K37" i="25"/>
  <c r="A37" i="25"/>
  <c r="Q36" i="25"/>
  <c r="O36" i="25" s="1"/>
  <c r="P36" i="25"/>
  <c r="K36" i="25"/>
  <c r="A36" i="25"/>
  <c r="Q35" i="25"/>
  <c r="O35" i="25" s="1"/>
  <c r="P35" i="25"/>
  <c r="K35" i="25"/>
  <c r="A35" i="25"/>
  <c r="Q34" i="25"/>
  <c r="O34" i="25" s="1"/>
  <c r="P34" i="25"/>
  <c r="K34" i="25"/>
  <c r="A34" i="25"/>
  <c r="Q33" i="25"/>
  <c r="P33" i="25"/>
  <c r="O33" i="25"/>
  <c r="M33" i="25"/>
  <c r="K33" i="25"/>
  <c r="A33" i="25"/>
  <c r="Q32" i="25"/>
  <c r="O32" i="25" s="1"/>
  <c r="P32" i="25"/>
  <c r="K32" i="25"/>
  <c r="A32" i="25"/>
  <c r="Q31" i="25"/>
  <c r="O31" i="25" s="1"/>
  <c r="P31" i="25"/>
  <c r="K31" i="25"/>
  <c r="A31" i="25"/>
  <c r="Q30" i="25"/>
  <c r="O30" i="25" s="1"/>
  <c r="P30" i="25"/>
  <c r="K30" i="25"/>
  <c r="A30" i="25"/>
  <c r="Q29" i="25"/>
  <c r="P29" i="25"/>
  <c r="O29" i="25"/>
  <c r="M29" i="25"/>
  <c r="K29" i="25"/>
  <c r="A29" i="25"/>
  <c r="Q28" i="25"/>
  <c r="O28" i="25" s="1"/>
  <c r="P28" i="25"/>
  <c r="K28" i="25"/>
  <c r="A28" i="25"/>
  <c r="Q27" i="25"/>
  <c r="O27" i="25" s="1"/>
  <c r="P27" i="25"/>
  <c r="K27" i="25"/>
  <c r="A27" i="25"/>
  <c r="Q26" i="25"/>
  <c r="O26" i="25" s="1"/>
  <c r="P26" i="25"/>
  <c r="K26" i="25"/>
  <c r="A26" i="25"/>
  <c r="Q25" i="25"/>
  <c r="P25" i="25"/>
  <c r="O25" i="25"/>
  <c r="M25" i="25"/>
  <c r="K25" i="25"/>
  <c r="A25" i="25"/>
  <c r="Q24" i="25"/>
  <c r="O24" i="25" s="1"/>
  <c r="P24" i="25"/>
  <c r="K24" i="25"/>
  <c r="A24" i="25"/>
  <c r="Q23" i="25"/>
  <c r="O23" i="25" s="1"/>
  <c r="P23" i="25"/>
  <c r="K23" i="25"/>
  <c r="A23" i="25"/>
  <c r="M22" i="25"/>
  <c r="K22" i="25"/>
  <c r="J22" i="25"/>
  <c r="I22" i="25"/>
  <c r="G22" i="25"/>
  <c r="F22" i="25"/>
  <c r="E22" i="25"/>
  <c r="P20" i="25"/>
  <c r="O20" i="25"/>
  <c r="P18" i="25"/>
  <c r="O18" i="25"/>
  <c r="L18" i="25"/>
  <c r="P14" i="25"/>
  <c r="O14" i="25"/>
  <c r="L14" i="25"/>
  <c r="P13" i="25"/>
  <c r="O13" i="25"/>
  <c r="L13" i="25"/>
  <c r="P12" i="25"/>
  <c r="N12" i="25" s="1"/>
  <c r="O12" i="25"/>
  <c r="L12" i="25"/>
  <c r="P11" i="25"/>
  <c r="O11" i="25"/>
  <c r="L11" i="25"/>
  <c r="P10" i="25"/>
  <c r="O10" i="25"/>
  <c r="L10" i="25"/>
  <c r="P9" i="25"/>
  <c r="O9" i="25"/>
  <c r="L9" i="25"/>
  <c r="T8" i="25"/>
  <c r="P8" i="25"/>
  <c r="O8" i="25"/>
  <c r="L8" i="25"/>
  <c r="P7" i="25"/>
  <c r="O7" i="25"/>
  <c r="L7" i="25"/>
  <c r="P6" i="25"/>
  <c r="O6" i="25"/>
  <c r="L6" i="25"/>
  <c r="P5" i="25"/>
  <c r="O5" i="25"/>
  <c r="L5" i="25"/>
  <c r="A5" i="25"/>
  <c r="O4" i="25"/>
  <c r="L4" i="25"/>
  <c r="A4" i="25"/>
  <c r="K39" i="25" l="1"/>
  <c r="L22" i="25"/>
  <c r="M23" i="25"/>
  <c r="M27" i="25"/>
  <c r="M31" i="25"/>
  <c r="M35" i="25"/>
  <c r="O22" i="25"/>
  <c r="P22" i="25"/>
  <c r="P39" i="25"/>
  <c r="O39" i="25"/>
  <c r="M24" i="25"/>
  <c r="M26" i="25"/>
  <c r="M28" i="25"/>
  <c r="M30" i="25"/>
  <c r="M32" i="25"/>
  <c r="M34" i="25"/>
  <c r="M36" i="25"/>
  <c r="N36" i="24"/>
  <c r="J36" i="24"/>
  <c r="I36" i="24"/>
  <c r="G36" i="24"/>
  <c r="F36" i="24"/>
  <c r="E36" i="24"/>
  <c r="P34" i="24"/>
  <c r="O34" i="24"/>
  <c r="L34" i="24"/>
  <c r="L36" i="24" s="1"/>
  <c r="K34" i="24"/>
  <c r="A34" i="24"/>
  <c r="Q33" i="24"/>
  <c r="O33" i="24" s="1"/>
  <c r="P33" i="24"/>
  <c r="K33" i="24"/>
  <c r="A33" i="24"/>
  <c r="Q32" i="24"/>
  <c r="P32" i="24"/>
  <c r="O32" i="24"/>
  <c r="M32" i="24"/>
  <c r="K32" i="24"/>
  <c r="A32" i="24"/>
  <c r="Q31" i="24"/>
  <c r="O31" i="24" s="1"/>
  <c r="P31" i="24"/>
  <c r="K31" i="24"/>
  <c r="A31" i="24"/>
  <c r="Q30" i="24"/>
  <c r="P30" i="24"/>
  <c r="O30" i="24"/>
  <c r="M30" i="24"/>
  <c r="K30" i="24"/>
  <c r="A30" i="24"/>
  <c r="Q29" i="24"/>
  <c r="O29" i="24" s="1"/>
  <c r="P29" i="24"/>
  <c r="K29" i="24"/>
  <c r="A29" i="24"/>
  <c r="Q28" i="24"/>
  <c r="P28" i="24"/>
  <c r="O28" i="24"/>
  <c r="M28" i="24"/>
  <c r="K28" i="24"/>
  <c r="A28" i="24"/>
  <c r="Q27" i="24"/>
  <c r="O27" i="24" s="1"/>
  <c r="P27" i="24"/>
  <c r="K27" i="24"/>
  <c r="A27" i="24"/>
  <c r="Q26" i="24"/>
  <c r="P26" i="24"/>
  <c r="O26" i="24"/>
  <c r="M26" i="24"/>
  <c r="K26" i="24"/>
  <c r="A26" i="24"/>
  <c r="Q25" i="24"/>
  <c r="O25" i="24" s="1"/>
  <c r="P25" i="24"/>
  <c r="K25" i="24"/>
  <c r="A25" i="24"/>
  <c r="Q24" i="24"/>
  <c r="P24" i="24"/>
  <c r="O24" i="24"/>
  <c r="M24" i="24"/>
  <c r="K24" i="24"/>
  <c r="A24" i="24"/>
  <c r="Q23" i="24"/>
  <c r="O23" i="24" s="1"/>
  <c r="P23" i="24"/>
  <c r="K23" i="24"/>
  <c r="A23" i="24"/>
  <c r="Q22" i="24"/>
  <c r="P22" i="24"/>
  <c r="O22" i="24"/>
  <c r="M22" i="24"/>
  <c r="K22" i="24"/>
  <c r="A22" i="24"/>
  <c r="Q21" i="24"/>
  <c r="O21" i="24" s="1"/>
  <c r="P21" i="24"/>
  <c r="K21" i="24"/>
  <c r="A21" i="24"/>
  <c r="Q20" i="24"/>
  <c r="P20" i="24"/>
  <c r="P36" i="24" s="1"/>
  <c r="O20" i="24"/>
  <c r="M20" i="24"/>
  <c r="K20" i="24"/>
  <c r="A20" i="24"/>
  <c r="M19" i="24"/>
  <c r="K19" i="24"/>
  <c r="J19" i="24"/>
  <c r="I19" i="24"/>
  <c r="G19" i="24"/>
  <c r="F19" i="24"/>
  <c r="E19" i="24"/>
  <c r="P17" i="24"/>
  <c r="O17" i="24"/>
  <c r="L17" i="24"/>
  <c r="A17" i="24"/>
  <c r="P16" i="24"/>
  <c r="O16" i="24"/>
  <c r="L16" i="24"/>
  <c r="A16" i="24"/>
  <c r="P15" i="24"/>
  <c r="O15" i="24"/>
  <c r="L15" i="24"/>
  <c r="A15" i="24"/>
  <c r="P14" i="24"/>
  <c r="O14" i="24"/>
  <c r="L14" i="24"/>
  <c r="A14" i="24"/>
  <c r="P13" i="24"/>
  <c r="O13" i="24"/>
  <c r="L13" i="24"/>
  <c r="A13" i="24"/>
  <c r="P12" i="24"/>
  <c r="O12" i="24"/>
  <c r="N12" i="24"/>
  <c r="L12" i="24"/>
  <c r="A12" i="24"/>
  <c r="P11" i="24"/>
  <c r="O11" i="24"/>
  <c r="L11" i="24"/>
  <c r="A11" i="24"/>
  <c r="P10" i="24"/>
  <c r="O10" i="24"/>
  <c r="L10" i="24"/>
  <c r="A10" i="24"/>
  <c r="P9" i="24"/>
  <c r="O9" i="24"/>
  <c r="L9" i="24"/>
  <c r="A9" i="24"/>
  <c r="T8" i="24"/>
  <c r="P8" i="24"/>
  <c r="O8" i="24"/>
  <c r="L8" i="24"/>
  <c r="A8" i="24"/>
  <c r="P7" i="24"/>
  <c r="O7" i="24"/>
  <c r="L7" i="24"/>
  <c r="A7" i="24"/>
  <c r="P6" i="24"/>
  <c r="O6" i="24"/>
  <c r="L6" i="24"/>
  <c r="A6" i="24"/>
  <c r="P5" i="24"/>
  <c r="O5" i="24"/>
  <c r="L5" i="24"/>
  <c r="A5" i="24"/>
  <c r="P4" i="24"/>
  <c r="P19" i="24" s="1"/>
  <c r="O4" i="24"/>
  <c r="O19" i="24" s="1"/>
  <c r="L4" i="24"/>
  <c r="L19" i="24" s="1"/>
  <c r="A4" i="24"/>
  <c r="M39" i="25" l="1"/>
  <c r="K36" i="24"/>
  <c r="O36" i="24"/>
  <c r="M21" i="24"/>
  <c r="M23" i="24"/>
  <c r="M25" i="24"/>
  <c r="M27" i="24"/>
  <c r="M29" i="24"/>
  <c r="M31" i="24"/>
  <c r="M33" i="24"/>
  <c r="N36" i="22"/>
  <c r="J36" i="22"/>
  <c r="I36" i="22"/>
  <c r="G36" i="22"/>
  <c r="F36" i="22"/>
  <c r="E36" i="22"/>
  <c r="P34" i="22"/>
  <c r="O34" i="22"/>
  <c r="L34" i="22"/>
  <c r="L36" i="22" s="1"/>
  <c r="K34" i="22"/>
  <c r="A34" i="22"/>
  <c r="Q33" i="22"/>
  <c r="O33" i="22" s="1"/>
  <c r="P33" i="22"/>
  <c r="K33" i="22"/>
  <c r="A33" i="22"/>
  <c r="Q32" i="22"/>
  <c r="P32" i="22"/>
  <c r="O32" i="22"/>
  <c r="M32" i="22"/>
  <c r="K32" i="22"/>
  <c r="A32" i="22"/>
  <c r="Q31" i="22"/>
  <c r="O31" i="22" s="1"/>
  <c r="P31" i="22"/>
  <c r="K31" i="22"/>
  <c r="A31" i="22"/>
  <c r="Q30" i="22"/>
  <c r="M30" i="22" s="1"/>
  <c r="P30" i="22"/>
  <c r="K30" i="22"/>
  <c r="A30" i="22"/>
  <c r="Q29" i="22"/>
  <c r="O29" i="22" s="1"/>
  <c r="P29" i="22"/>
  <c r="K29" i="22"/>
  <c r="A29" i="22"/>
  <c r="Q28" i="22"/>
  <c r="P28" i="22"/>
  <c r="O28" i="22"/>
  <c r="M28" i="22"/>
  <c r="K28" i="22"/>
  <c r="A28" i="22"/>
  <c r="Q27" i="22"/>
  <c r="O27" i="22" s="1"/>
  <c r="P27" i="22"/>
  <c r="K27" i="22"/>
  <c r="A27" i="22"/>
  <c r="Q26" i="22"/>
  <c r="M26" i="22" s="1"/>
  <c r="P26" i="22"/>
  <c r="K26" i="22"/>
  <c r="A26" i="22"/>
  <c r="Q25" i="22"/>
  <c r="O25" i="22" s="1"/>
  <c r="P25" i="22"/>
  <c r="K25" i="22"/>
  <c r="A25" i="22"/>
  <c r="Q24" i="22"/>
  <c r="P24" i="22"/>
  <c r="O24" i="22"/>
  <c r="M24" i="22"/>
  <c r="K24" i="22"/>
  <c r="A24" i="22"/>
  <c r="Q23" i="22"/>
  <c r="O23" i="22" s="1"/>
  <c r="P23" i="22"/>
  <c r="K23" i="22"/>
  <c r="A23" i="22"/>
  <c r="Q22" i="22"/>
  <c r="M22" i="22" s="1"/>
  <c r="P22" i="22"/>
  <c r="K22" i="22"/>
  <c r="A22" i="22"/>
  <c r="Q21" i="22"/>
  <c r="O21" i="22" s="1"/>
  <c r="P21" i="22"/>
  <c r="K21" i="22"/>
  <c r="A21" i="22"/>
  <c r="Q20" i="22"/>
  <c r="P20" i="22"/>
  <c r="O20" i="22"/>
  <c r="M20" i="22"/>
  <c r="K20" i="22"/>
  <c r="K36" i="22" s="1"/>
  <c r="A20" i="22"/>
  <c r="M19" i="22"/>
  <c r="K19" i="22"/>
  <c r="J19" i="22"/>
  <c r="I19" i="22"/>
  <c r="G19" i="22"/>
  <c r="F19" i="22"/>
  <c r="E19" i="22"/>
  <c r="P17" i="22"/>
  <c r="O17" i="22"/>
  <c r="L17" i="22"/>
  <c r="A17" i="22"/>
  <c r="P16" i="22"/>
  <c r="O16" i="22"/>
  <c r="L16" i="22"/>
  <c r="A16" i="22"/>
  <c r="P15" i="22"/>
  <c r="O15" i="22"/>
  <c r="L15" i="22"/>
  <c r="A15" i="22"/>
  <c r="P14" i="22"/>
  <c r="O14" i="22"/>
  <c r="L14" i="22"/>
  <c r="A14" i="22"/>
  <c r="P13" i="22"/>
  <c r="O13" i="22"/>
  <c r="L13" i="22"/>
  <c r="A13" i="22"/>
  <c r="P12" i="22"/>
  <c r="O12" i="22"/>
  <c r="N12" i="22"/>
  <c r="L12" i="22"/>
  <c r="A12" i="22"/>
  <c r="P11" i="22"/>
  <c r="O11" i="22"/>
  <c r="L11" i="22"/>
  <c r="A11" i="22"/>
  <c r="P10" i="22"/>
  <c r="O10" i="22"/>
  <c r="L10" i="22"/>
  <c r="A10" i="22"/>
  <c r="P9" i="22"/>
  <c r="O9" i="22"/>
  <c r="L9" i="22"/>
  <c r="A9" i="22"/>
  <c r="T8" i="22"/>
  <c r="P8" i="22"/>
  <c r="O8" i="22"/>
  <c r="L8" i="22"/>
  <c r="A8" i="22"/>
  <c r="P7" i="22"/>
  <c r="O7" i="22"/>
  <c r="L7" i="22"/>
  <c r="A7" i="22"/>
  <c r="P6" i="22"/>
  <c r="O6" i="22"/>
  <c r="L6" i="22"/>
  <c r="A6" i="22"/>
  <c r="P5" i="22"/>
  <c r="O5" i="22"/>
  <c r="L5" i="22"/>
  <c r="A5" i="22"/>
  <c r="P4" i="22"/>
  <c r="P19" i="22" s="1"/>
  <c r="O4" i="22"/>
  <c r="O19" i="22" s="1"/>
  <c r="L4" i="22"/>
  <c r="L19" i="22" s="1"/>
  <c r="A4" i="22"/>
  <c r="M36" i="24" l="1"/>
  <c r="O22" i="22"/>
  <c r="O26" i="22"/>
  <c r="O30" i="22"/>
  <c r="P36" i="22"/>
  <c r="M21" i="22"/>
  <c r="M23" i="22"/>
  <c r="M25" i="22"/>
  <c r="M27" i="22"/>
  <c r="M29" i="22"/>
  <c r="M31" i="22"/>
  <c r="M33" i="22"/>
  <c r="O36" i="22" l="1"/>
  <c r="M36" i="22"/>
  <c r="N36" i="21"/>
  <c r="J36" i="21"/>
  <c r="I36" i="21"/>
  <c r="G36" i="21"/>
  <c r="F36" i="21"/>
  <c r="E36" i="21"/>
  <c r="P34" i="21"/>
  <c r="O34" i="21"/>
  <c r="L34" i="21"/>
  <c r="L36" i="21" s="1"/>
  <c r="K34" i="21"/>
  <c r="A34" i="21"/>
  <c r="Q33" i="21"/>
  <c r="O33" i="21" s="1"/>
  <c r="P33" i="21"/>
  <c r="K33" i="21"/>
  <c r="A33" i="21"/>
  <c r="Q32" i="21"/>
  <c r="P32" i="21"/>
  <c r="O32" i="21"/>
  <c r="M32" i="21"/>
  <c r="K32" i="21"/>
  <c r="A32" i="21"/>
  <c r="Q31" i="21"/>
  <c r="O31" i="21" s="1"/>
  <c r="P31" i="21"/>
  <c r="K31" i="21"/>
  <c r="A31" i="21"/>
  <c r="Q30" i="21"/>
  <c r="M30" i="21" s="1"/>
  <c r="P30" i="21"/>
  <c r="K30" i="21"/>
  <c r="A30" i="21"/>
  <c r="Q29" i="21"/>
  <c r="O29" i="21" s="1"/>
  <c r="P29" i="21"/>
  <c r="K29" i="21"/>
  <c r="A29" i="21"/>
  <c r="Q28" i="21"/>
  <c r="P28" i="21"/>
  <c r="O28" i="21"/>
  <c r="M28" i="21"/>
  <c r="K28" i="21"/>
  <c r="A28" i="21"/>
  <c r="Q27" i="21"/>
  <c r="O27" i="21" s="1"/>
  <c r="P27" i="21"/>
  <c r="K27" i="21"/>
  <c r="A27" i="21"/>
  <c r="Q26" i="21"/>
  <c r="M26" i="21" s="1"/>
  <c r="P26" i="21"/>
  <c r="K26" i="21"/>
  <c r="A26" i="21"/>
  <c r="Q25" i="21"/>
  <c r="O25" i="21" s="1"/>
  <c r="P25" i="21"/>
  <c r="K25" i="21"/>
  <c r="A25" i="21"/>
  <c r="Q24" i="21"/>
  <c r="P24" i="21"/>
  <c r="O24" i="21"/>
  <c r="M24" i="21"/>
  <c r="K24" i="21"/>
  <c r="A24" i="21"/>
  <c r="Q23" i="21"/>
  <c r="O23" i="21" s="1"/>
  <c r="P23" i="21"/>
  <c r="K23" i="21"/>
  <c r="A23" i="21"/>
  <c r="Q22" i="21"/>
  <c r="M22" i="21" s="1"/>
  <c r="P22" i="21"/>
  <c r="K22" i="21"/>
  <c r="A22" i="21"/>
  <c r="Q21" i="21"/>
  <c r="O21" i="21" s="1"/>
  <c r="P21" i="21"/>
  <c r="K21" i="21"/>
  <c r="A21" i="21"/>
  <c r="Q20" i="21"/>
  <c r="P20" i="21"/>
  <c r="O20" i="21"/>
  <c r="M20" i="21"/>
  <c r="K20" i="21"/>
  <c r="A20" i="21"/>
  <c r="M19" i="21"/>
  <c r="K19" i="21"/>
  <c r="J19" i="21"/>
  <c r="I19" i="21"/>
  <c r="G19" i="21"/>
  <c r="F19" i="21"/>
  <c r="E19" i="21"/>
  <c r="P17" i="21"/>
  <c r="O17" i="21"/>
  <c r="L17" i="21"/>
  <c r="A17" i="21"/>
  <c r="P16" i="21"/>
  <c r="O16" i="21"/>
  <c r="L16" i="21"/>
  <c r="A16" i="21"/>
  <c r="P15" i="21"/>
  <c r="O15" i="21"/>
  <c r="L15" i="21"/>
  <c r="A15" i="21"/>
  <c r="P14" i="21"/>
  <c r="O14" i="21"/>
  <c r="L14" i="21"/>
  <c r="A14" i="21"/>
  <c r="P13" i="21"/>
  <c r="O13" i="21"/>
  <c r="L13" i="21"/>
  <c r="A13" i="21"/>
  <c r="P12" i="21"/>
  <c r="O12" i="21"/>
  <c r="N12" i="21"/>
  <c r="L12" i="21"/>
  <c r="A12" i="21"/>
  <c r="P11" i="21"/>
  <c r="O11" i="21"/>
  <c r="L11" i="21"/>
  <c r="A11" i="21"/>
  <c r="P10" i="21"/>
  <c r="O10" i="21"/>
  <c r="L10" i="21"/>
  <c r="A10" i="21"/>
  <c r="P9" i="21"/>
  <c r="O9" i="21"/>
  <c r="L9" i="21"/>
  <c r="A9" i="21"/>
  <c r="T8" i="21"/>
  <c r="P8" i="21"/>
  <c r="O8" i="21"/>
  <c r="L8" i="21"/>
  <c r="A8" i="21"/>
  <c r="P7" i="21"/>
  <c r="O7" i="21"/>
  <c r="L7" i="21"/>
  <c r="A7" i="21"/>
  <c r="P6" i="21"/>
  <c r="O6" i="21"/>
  <c r="L6" i="21"/>
  <c r="A6" i="21"/>
  <c r="P5" i="21"/>
  <c r="O5" i="21"/>
  <c r="L5" i="21"/>
  <c r="A5" i="21"/>
  <c r="P4" i="21"/>
  <c r="P19" i="21" s="1"/>
  <c r="O4" i="21"/>
  <c r="O19" i="21" s="1"/>
  <c r="L4" i="21"/>
  <c r="L19" i="21" s="1"/>
  <c r="A4" i="21"/>
  <c r="N36" i="20"/>
  <c r="J36" i="20"/>
  <c r="I36" i="20"/>
  <c r="G36" i="20"/>
  <c r="F36" i="20"/>
  <c r="E36" i="20"/>
  <c r="P34" i="20"/>
  <c r="O34" i="20"/>
  <c r="L34" i="20"/>
  <c r="L36" i="20" s="1"/>
  <c r="K34" i="20"/>
  <c r="A34" i="20"/>
  <c r="Q33" i="20"/>
  <c r="O33" i="20" s="1"/>
  <c r="P33" i="20"/>
  <c r="K33" i="20"/>
  <c r="A33" i="20"/>
  <c r="Q32" i="20"/>
  <c r="P32" i="20"/>
  <c r="O32" i="20"/>
  <c r="M32" i="20"/>
  <c r="T32" i="20" s="1"/>
  <c r="K32" i="20"/>
  <c r="A32" i="20"/>
  <c r="Q31" i="20"/>
  <c r="O31" i="20" s="1"/>
  <c r="P31" i="20"/>
  <c r="K31" i="20"/>
  <c r="A31" i="20"/>
  <c r="Q30" i="20"/>
  <c r="P30" i="20"/>
  <c r="O30" i="20"/>
  <c r="M30" i="20"/>
  <c r="T30" i="20" s="1"/>
  <c r="K30" i="20"/>
  <c r="A30" i="20"/>
  <c r="Q29" i="20"/>
  <c r="O29" i="20" s="1"/>
  <c r="P29" i="20"/>
  <c r="K29" i="20"/>
  <c r="A29" i="20"/>
  <c r="Q28" i="20"/>
  <c r="P28" i="20"/>
  <c r="O28" i="20"/>
  <c r="M28" i="20"/>
  <c r="T28" i="20" s="1"/>
  <c r="K28" i="20"/>
  <c r="A28" i="20"/>
  <c r="Q27" i="20"/>
  <c r="O27" i="20" s="1"/>
  <c r="P27" i="20"/>
  <c r="K27" i="20"/>
  <c r="A27" i="20"/>
  <c r="Q26" i="20"/>
  <c r="P26" i="20"/>
  <c r="O26" i="20"/>
  <c r="M26" i="20"/>
  <c r="T26" i="20" s="1"/>
  <c r="K26" i="20"/>
  <c r="A26" i="20"/>
  <c r="Q25" i="20"/>
  <c r="O25" i="20" s="1"/>
  <c r="P25" i="20"/>
  <c r="K25" i="20"/>
  <c r="A25" i="20"/>
  <c r="Q24" i="20"/>
  <c r="P24" i="20"/>
  <c r="O24" i="20"/>
  <c r="M24" i="20"/>
  <c r="T24" i="20" s="1"/>
  <c r="K24" i="20"/>
  <c r="A24" i="20"/>
  <c r="Q23" i="20"/>
  <c r="O23" i="20" s="1"/>
  <c r="P23" i="20"/>
  <c r="K23" i="20"/>
  <c r="A23" i="20"/>
  <c r="Q22" i="20"/>
  <c r="P22" i="20"/>
  <c r="O22" i="20"/>
  <c r="M22" i="20"/>
  <c r="T22" i="20" s="1"/>
  <c r="K22" i="20"/>
  <c r="A22" i="20"/>
  <c r="Q21" i="20"/>
  <c r="O21" i="20" s="1"/>
  <c r="P21" i="20"/>
  <c r="K21" i="20"/>
  <c r="A21" i="20"/>
  <c r="Q20" i="20"/>
  <c r="P20" i="20"/>
  <c r="O20" i="20"/>
  <c r="M20" i="20"/>
  <c r="T20" i="20" s="1"/>
  <c r="K20" i="20"/>
  <c r="A20" i="20"/>
  <c r="M19" i="20"/>
  <c r="K19" i="20"/>
  <c r="J19" i="20"/>
  <c r="I19" i="20"/>
  <c r="G19" i="20"/>
  <c r="F19" i="20"/>
  <c r="E19" i="20"/>
  <c r="P17" i="20"/>
  <c r="O17" i="20"/>
  <c r="L17" i="20"/>
  <c r="A17" i="20"/>
  <c r="P16" i="20"/>
  <c r="O16" i="20"/>
  <c r="L16" i="20"/>
  <c r="A16" i="20"/>
  <c r="P15" i="20"/>
  <c r="O15" i="20"/>
  <c r="L15" i="20"/>
  <c r="A15" i="20"/>
  <c r="P14" i="20"/>
  <c r="O14" i="20"/>
  <c r="L14" i="20"/>
  <c r="A14" i="20"/>
  <c r="P13" i="20"/>
  <c r="O13" i="20"/>
  <c r="L13" i="20"/>
  <c r="A13" i="20"/>
  <c r="P12" i="20"/>
  <c r="O12" i="20"/>
  <c r="N12" i="20"/>
  <c r="L12" i="20"/>
  <c r="A12" i="20"/>
  <c r="P11" i="20"/>
  <c r="O11" i="20"/>
  <c r="L11" i="20"/>
  <c r="A11" i="20"/>
  <c r="P10" i="20"/>
  <c r="O10" i="20"/>
  <c r="L10" i="20"/>
  <c r="A10" i="20"/>
  <c r="P9" i="20"/>
  <c r="O9" i="20"/>
  <c r="L9" i="20"/>
  <c r="A9" i="20"/>
  <c r="T8" i="20"/>
  <c r="P8" i="20"/>
  <c r="O8" i="20"/>
  <c r="L8" i="20"/>
  <c r="A8" i="20"/>
  <c r="P7" i="20"/>
  <c r="O7" i="20"/>
  <c r="L7" i="20"/>
  <c r="A7" i="20"/>
  <c r="P6" i="20"/>
  <c r="O6" i="20"/>
  <c r="L6" i="20"/>
  <c r="A6" i="20"/>
  <c r="P5" i="20"/>
  <c r="O5" i="20"/>
  <c r="L5" i="20"/>
  <c r="A5" i="20"/>
  <c r="P4" i="20"/>
  <c r="P19" i="20" s="1"/>
  <c r="O4" i="20"/>
  <c r="O19" i="20" s="1"/>
  <c r="L4" i="20"/>
  <c r="L19" i="20" s="1"/>
  <c r="A4" i="20"/>
  <c r="O22" i="21" l="1"/>
  <c r="O26" i="21"/>
  <c r="O30" i="21"/>
  <c r="P36" i="21"/>
  <c r="P36" i="20"/>
  <c r="K36" i="21"/>
  <c r="M21" i="21"/>
  <c r="M23" i="21"/>
  <c r="M25" i="21"/>
  <c r="M27" i="21"/>
  <c r="M29" i="21"/>
  <c r="M31" i="21"/>
  <c r="M33" i="21"/>
  <c r="K36" i="20"/>
  <c r="O36" i="20"/>
  <c r="M21" i="20"/>
  <c r="M23" i="20"/>
  <c r="T23" i="20" s="1"/>
  <c r="M25" i="20"/>
  <c r="T25" i="20" s="1"/>
  <c r="M27" i="20"/>
  <c r="T27" i="20" s="1"/>
  <c r="M29" i="20"/>
  <c r="T29" i="20" s="1"/>
  <c r="M31" i="20"/>
  <c r="T31" i="20" s="1"/>
  <c r="M33" i="20"/>
  <c r="T33" i="20" s="1"/>
  <c r="P17" i="19"/>
  <c r="O17" i="19"/>
  <c r="L17" i="19"/>
  <c r="A17" i="19"/>
  <c r="M36" i="20" l="1"/>
  <c r="T21" i="20"/>
  <c r="O36" i="21"/>
  <c r="M36" i="21"/>
  <c r="Q21" i="19" l="1"/>
  <c r="Q22" i="19"/>
  <c r="Q23" i="19"/>
  <c r="Q24" i="19"/>
  <c r="Q25" i="19"/>
  <c r="Q26" i="19"/>
  <c r="Q27" i="19"/>
  <c r="Q28" i="19"/>
  <c r="Q29" i="19"/>
  <c r="Q30" i="19"/>
  <c r="Q31" i="19"/>
  <c r="Q32" i="19"/>
  <c r="Q33" i="19"/>
  <c r="Q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20" i="19"/>
  <c r="P4" i="19"/>
  <c r="P5" i="19"/>
  <c r="P10" i="19"/>
  <c r="P8" i="19"/>
  <c r="P7" i="19"/>
  <c r="P9" i="19"/>
  <c r="P11" i="19"/>
  <c r="P6" i="19"/>
  <c r="P12" i="19"/>
  <c r="N12" i="19" s="1"/>
  <c r="P13" i="19"/>
  <c r="P14" i="19"/>
  <c r="P15" i="19"/>
  <c r="P16" i="19"/>
  <c r="A9" i="19"/>
  <c r="A11" i="19"/>
  <c r="A6" i="19"/>
  <c r="A12" i="19"/>
  <c r="A13" i="19"/>
  <c r="A14" i="19"/>
  <c r="A15" i="19"/>
  <c r="A16" i="19"/>
  <c r="L16" i="19"/>
  <c r="L15" i="19"/>
  <c r="L14" i="19"/>
  <c r="L13" i="19"/>
  <c r="O14" i="19"/>
  <c r="O15" i="19"/>
  <c r="O16" i="19"/>
  <c r="O13" i="19"/>
  <c r="A5" i="19"/>
  <c r="A10" i="19"/>
  <c r="A8" i="19"/>
  <c r="A7" i="19"/>
  <c r="A4" i="19"/>
  <c r="N36" i="19"/>
  <c r="J36" i="19"/>
  <c r="I36" i="19"/>
  <c r="G36" i="19"/>
  <c r="F36" i="19"/>
  <c r="P34" i="19"/>
  <c r="O34" i="19"/>
  <c r="L34" i="19"/>
  <c r="L36" i="19" s="1"/>
  <c r="K34" i="19"/>
  <c r="P33" i="19"/>
  <c r="O33" i="19"/>
  <c r="M33" i="19"/>
  <c r="P32" i="19"/>
  <c r="O32" i="19"/>
  <c r="M32" i="19"/>
  <c r="P31" i="19"/>
  <c r="O31" i="19"/>
  <c r="M31" i="19"/>
  <c r="P30" i="19"/>
  <c r="O30" i="19"/>
  <c r="K30" i="19"/>
  <c r="P29" i="19"/>
  <c r="O29" i="19"/>
  <c r="M29" i="19"/>
  <c r="P28" i="19"/>
  <c r="O28" i="19"/>
  <c r="M28" i="19"/>
  <c r="P27" i="19"/>
  <c r="O27" i="19"/>
  <c r="M27" i="19"/>
  <c r="P26" i="19"/>
  <c r="O26" i="19"/>
  <c r="K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19" i="19"/>
  <c r="K19" i="19"/>
  <c r="J19" i="19"/>
  <c r="I19" i="19"/>
  <c r="F19" i="19"/>
  <c r="E19" i="19"/>
  <c r="O12" i="19"/>
  <c r="L12" i="19"/>
  <c r="O6" i="19"/>
  <c r="L6" i="19"/>
  <c r="O11" i="19"/>
  <c r="L11" i="19"/>
  <c r="O9" i="19"/>
  <c r="L9" i="19"/>
  <c r="O7" i="19"/>
  <c r="L7" i="19"/>
  <c r="T8" i="19"/>
  <c r="O8" i="19"/>
  <c r="L8" i="19"/>
  <c r="O10" i="19"/>
  <c r="L10" i="19"/>
  <c r="O5" i="19"/>
  <c r="L5" i="19"/>
  <c r="O4" i="19"/>
  <c r="L4" i="19"/>
  <c r="G19" i="19"/>
  <c r="M26" i="19" l="1"/>
  <c r="M30" i="19"/>
  <c r="E36" i="19"/>
  <c r="K22" i="19"/>
  <c r="O19" i="19"/>
  <c r="P36" i="19"/>
  <c r="L19" i="19"/>
  <c r="O36" i="19"/>
  <c r="K20" i="19"/>
  <c r="K24" i="19"/>
  <c r="K28" i="19"/>
  <c r="K32" i="19"/>
  <c r="P19" i="19"/>
  <c r="M20" i="19"/>
  <c r="K21" i="19"/>
  <c r="K23" i="19"/>
  <c r="K25" i="19"/>
  <c r="K27" i="19"/>
  <c r="K29" i="19"/>
  <c r="K31" i="19"/>
  <c r="K33" i="19"/>
  <c r="M36" i="19" l="1"/>
  <c r="K36" i="19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 s="1"/>
  <c r="P30" i="16"/>
  <c r="M30" i="16" s="1"/>
  <c r="P31" i="16"/>
  <c r="M31" i="16" s="1"/>
  <c r="P32" i="16"/>
  <c r="M32" i="16" s="1"/>
  <c r="P33" i="16"/>
  <c r="M33" i="16"/>
  <c r="P34" i="16"/>
  <c r="M34" i="16" s="1"/>
  <c r="P35" i="16"/>
  <c r="M35" i="16"/>
  <c r="P36" i="16"/>
  <c r="M36" i="16" s="1"/>
  <c r="P37" i="16"/>
  <c r="M37" i="16"/>
  <c r="P38" i="16"/>
  <c r="M38" i="16" s="1"/>
  <c r="P39" i="16"/>
  <c r="M39" i="16"/>
  <c r="P40" i="16"/>
  <c r="M40" i="16" s="1"/>
  <c r="P41" i="16"/>
  <c r="M41" i="16"/>
  <c r="P28" i="16"/>
  <c r="M28" i="16" s="1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F27" i="16"/>
  <c r="I44" i="16"/>
  <c r="G44" i="16"/>
  <c r="F44" i="16"/>
  <c r="E44" i="16"/>
  <c r="O42" i="16"/>
  <c r="N42" i="16"/>
  <c r="L42" i="16"/>
  <c r="L44" i="16" s="1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O44" i="16" s="1"/>
  <c r="N28" i="16"/>
  <c r="N44" i="16" s="1"/>
  <c r="K28" i="16"/>
  <c r="E23" i="17"/>
  <c r="M27" i="16"/>
  <c r="K27" i="16"/>
  <c r="I27" i="16"/>
  <c r="E27" i="16"/>
  <c r="A17" i="16"/>
  <c r="L12" i="16"/>
  <c r="L27" i="16" s="1"/>
  <c r="A12" i="16"/>
  <c r="L11" i="16"/>
  <c r="A11" i="16"/>
  <c r="N10" i="16"/>
  <c r="N27" i="16" s="1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N9" i="16" s="1"/>
  <c r="L4" i="16"/>
  <c r="L9" i="16"/>
  <c r="A4" i="16"/>
  <c r="O22" i="17"/>
  <c r="L22" i="17"/>
  <c r="P40" i="17"/>
  <c r="O9" i="16"/>
  <c r="O27" i="16"/>
  <c r="K24" i="17"/>
  <c r="K40" i="17" s="1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M40" i="17" s="1"/>
  <c r="K36" i="17"/>
  <c r="K32" i="17"/>
  <c r="M32" i="17"/>
  <c r="K44" i="16"/>
  <c r="O40" i="17"/>
  <c r="M44" i="16" l="1"/>
  <c r="P22" i="17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<sst xmlns="http://schemas.openxmlformats.org/spreadsheetml/2006/main" count="691" uniqueCount="102">
  <si>
    <t>USD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</si>
  <si>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</si>
  <si>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</si>
  <si>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</si>
  <si>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</si>
  <si>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</si>
  <si>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</si>
  <si>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</si>
  <si>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</si>
  <si>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</si>
  <si>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</si>
  <si>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</si>
  <si>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</si>
  <si>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</si>
  <si>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</si>
  <si>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</si>
  <si>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</si>
  <si>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</si>
  <si>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</si>
  <si>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</si>
  <si>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</si>
  <si>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</si>
  <si>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</si>
  <si>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</si>
  <si>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</si>
  <si>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</si>
  <si>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</si>
  <si>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</si>
  <si>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</si>
  <si>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</si>
  <si>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</si>
  <si>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</si>
  <si>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</si>
  <si>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</si>
  <si>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</si>
  <si>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</si>
  <si>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</si>
  <si>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</si>
  <si>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</si>
  <si>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Tỷ giá</t>
  </si>
  <si>
    <t>1025 000021 6241</t>
  </si>
  <si>
    <t>1025 000021 6265</t>
  </si>
  <si>
    <t>1025 037000 1485</t>
  </si>
  <si>
    <t>1025 037000 1526</t>
  </si>
  <si>
    <t>1402LDS201601563</t>
  </si>
  <si>
    <t>1402LDS201601331</t>
  </si>
  <si>
    <t>TC: PVcombank - LA</t>
  </si>
  <si>
    <t>1025 037000 1629</t>
  </si>
  <si>
    <t>PVCombank</t>
  </si>
  <si>
    <t>1025 037000 1643</t>
  </si>
  <si>
    <t>1025 037000 1791</t>
  </si>
  <si>
    <t>1025 037000 1863</t>
  </si>
  <si>
    <t>ZhouHan</t>
  </si>
  <si>
    <t>Flak Vostok LCC</t>
  </si>
  <si>
    <t>Tokai</t>
  </si>
  <si>
    <t>1025 037000 2013</t>
  </si>
  <si>
    <t>1402LDS201602725</t>
  </si>
  <si>
    <t>1402LDS201602654</t>
  </si>
  <si>
    <t>1402LDS201602853</t>
  </si>
  <si>
    <t>TRÀ VINH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</si>
  <si>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</si>
  <si>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</si>
  <si>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</si>
  <si>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</si>
  <si>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</si>
  <si>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</si>
  <si>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</si>
  <si>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</si>
  <si>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</si>
  <si>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</si>
  <si>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</si>
  <si>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</si>
  <si>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</si>
  <si>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</si>
  <si>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1025 037000 2116</t>
  </si>
  <si>
    <t>1402LDS201700049</t>
  </si>
  <si>
    <t>LD1704739145</t>
  </si>
  <si>
    <t>LD1704744432</t>
  </si>
  <si>
    <t>LD1704746192</t>
  </si>
  <si>
    <t>LD1704746915</t>
  </si>
  <si>
    <t>LD1705333863</t>
  </si>
  <si>
    <t>LD1706237120</t>
  </si>
  <si>
    <t>LD1709377557</t>
  </si>
  <si>
    <t>LD1711070103</t>
  </si>
  <si>
    <t>LD1711600272</t>
  </si>
  <si>
    <t>LD1711703018</t>
  </si>
  <si>
    <t>LD1711890070</t>
  </si>
  <si>
    <t>LD1712863382</t>
  </si>
  <si>
    <t>LD1714283137</t>
  </si>
  <si>
    <t>LD1713228461</t>
  </si>
  <si>
    <t>1402LDS201700777</t>
  </si>
  <si>
    <t>LD1715715201</t>
  </si>
  <si>
    <t>LD1717910547</t>
  </si>
  <si>
    <t>LD1718001976</t>
  </si>
  <si>
    <t>LD1718609148</t>
  </si>
  <si>
    <t>LD1722005872</t>
  </si>
  <si>
    <t>LD1722725170</t>
  </si>
  <si>
    <t>LD1725100091</t>
  </si>
  <si>
    <t>LD1726338999</t>
  </si>
  <si>
    <t>LD1726941340</t>
  </si>
  <si>
    <t>LD1727013707</t>
  </si>
  <si>
    <t>LD1716460104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</si>
</sst>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3" fontId="24" fillId="3" borderId="1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4" fillId="3" borderId="1">
      <alignment horizontal="centerContinuous" vertical="center" wrapText="1"/>
    </xf>
    <xf numFmtId="3" fontId="24" fillId="3" borderId="1">
      <alignment horizontal="center" vertical="center" wrapText="1"/>
    </xf>
    <xf numFmtId="2" fontId="1" fillId="0" borderId="0" applyFont="0" applyFill="0" applyBorder="0" applyAlignment="0" applyProtection="0"/>
    <xf numFmtId="0" fontId="26" fillId="0" borderId="9" applyNumberFormat="0" applyAlignment="0" applyProtection="0">
      <alignment horizontal="left" vertical="center"/>
    </xf>
    <xf numFmtId="0" fontId="26" fillId="0" borderId="4">
      <alignment horizontal="left" vertical="center"/>
    </xf>
    <xf numFmtId="3" fontId="24" fillId="0" borderId="10"/>
    <xf numFmtId="3" fontId="27" fillId="0" borderId="11"/>
    <xf numFmtId="3" fontId="24" fillId="0" borderId="1">
      <alignment horizontal="center" vertical="center" wrapText="1"/>
    </xf>
    <xf numFmtId="3" fontId="24" fillId="0" borderId="1">
      <alignment horizontal="centerContinuous" vertical="center"/>
    </xf>
    <xf numFmtId="165" fontId="28" fillId="0" borderId="8"/>
    <xf numFmtId="0" fontId="21" fillId="0" borderId="0"/>
    <xf numFmtId="0" fontId="2" fillId="0" borderId="0"/>
    <xf numFmtId="0" fontId="29" fillId="0" borderId="0">
      <alignment horizontal="centerContinuous"/>
    </xf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3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3" fillId="0" borderId="0"/>
    <xf numFmtId="0" fontId="35" fillId="0" borderId="0"/>
  </cellStyleXfs>
  <cellXfs count="137">
    <xf numFmtId="0" fontId="0" fillId="0" borderId="0" xfId="0"/>
    <xf numFmtId="0" fontId="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vertical="center"/>
    </xf>
    <xf numFmtId="14" fontId="6" fillId="2" borderId="0" xfId="3" applyNumberFormat="1" applyFont="1" applyFill="1" applyAlignment="1">
      <alignment horizontal="center" vertical="center"/>
    </xf>
    <xf numFmtId="14" fontId="5" fillId="2" borderId="0" xfId="3" applyNumberFormat="1" applyFont="1" applyFill="1" applyAlignment="1">
      <alignment horizontal="center" vertical="center"/>
    </xf>
    <xf numFmtId="164" fontId="5" fillId="2" borderId="0" xfId="4" applyNumberFormat="1" applyFont="1" applyFill="1" applyAlignment="1">
      <alignment vertical="center"/>
    </xf>
    <xf numFmtId="43" fontId="5" fillId="2" borderId="0" xfId="4" applyFont="1" applyFill="1" applyAlignment="1">
      <alignment vertical="center"/>
    </xf>
    <xf numFmtId="14" fontId="7" fillId="2" borderId="0" xfId="4" applyNumberFormat="1" applyFont="1" applyFill="1" applyAlignment="1">
      <alignment horizontal="center" vertical="center"/>
    </xf>
    <xf numFmtId="164" fontId="7" fillId="2" borderId="0" xfId="4" applyNumberFormat="1" applyFont="1" applyFill="1" applyAlignment="1">
      <alignment vertical="center"/>
    </xf>
    <xf numFmtId="14" fontId="8" fillId="2" borderId="5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0" fillId="2" borderId="0" xfId="3" applyFont="1" applyFill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 wrapText="1"/>
    </xf>
    <xf numFmtId="43" fontId="10" fillId="2" borderId="1" xfId="4" applyFont="1" applyFill="1" applyBorder="1" applyAlignment="1">
      <alignment horizontal="center" vertical="center"/>
    </xf>
    <xf numFmtId="14" fontId="13" fillId="2" borderId="1" xfId="4" applyNumberFormat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4" fillId="2" borderId="3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 wrapText="1"/>
    </xf>
    <xf numFmtId="43" fontId="14" fillId="2" borderId="3" xfId="4" applyFont="1" applyFill="1" applyBorder="1" applyAlignment="1">
      <alignment vertical="center"/>
    </xf>
    <xf numFmtId="43" fontId="15" fillId="2" borderId="3" xfId="4" applyFont="1" applyFill="1" applyBorder="1" applyAlignment="1">
      <alignment vertical="center"/>
    </xf>
    <xf numFmtId="43" fontId="14" fillId="2" borderId="0" xfId="4" applyFont="1" applyFill="1" applyBorder="1" applyAlignment="1">
      <alignment vertical="center"/>
    </xf>
    <xf numFmtId="49" fontId="14" fillId="2" borderId="2" xfId="4" applyNumberFormat="1" applyFont="1" applyFill="1" applyBorder="1" applyAlignment="1">
      <alignment vertical="center"/>
    </xf>
    <xf numFmtId="14" fontId="14" fillId="2" borderId="2" xfId="3" applyNumberFormat="1" applyFont="1" applyFill="1" applyBorder="1" applyAlignment="1">
      <alignment horizontal="center" vertical="center" wrapText="1"/>
    </xf>
    <xf numFmtId="43" fontId="14" fillId="2" borderId="2" xfId="4" applyFont="1" applyFill="1" applyBorder="1" applyAlignment="1">
      <alignment vertical="center"/>
    </xf>
    <xf numFmtId="164" fontId="14" fillId="2" borderId="2" xfId="4" applyNumberFormat="1" applyFont="1" applyFill="1" applyBorder="1" applyAlignment="1">
      <alignment vertical="center"/>
    </xf>
    <xf numFmtId="43" fontId="15" fillId="2" borderId="2" xfId="4" applyFont="1" applyFill="1" applyBorder="1" applyAlignment="1">
      <alignment vertical="center"/>
    </xf>
    <xf numFmtId="43" fontId="14" fillId="2" borderId="2" xfId="4" applyFont="1" applyFill="1" applyBorder="1" applyAlignment="1">
      <alignment horizontal="center" vertical="center"/>
    </xf>
    <xf numFmtId="14" fontId="17" fillId="2" borderId="1" xfId="3" applyNumberFormat="1" applyFont="1" applyFill="1" applyBorder="1" applyAlignment="1">
      <alignment horizontal="center" vertical="center" wrapText="1"/>
    </xf>
    <xf numFmtId="164" fontId="18" fillId="2" borderId="1" xfId="4" applyNumberFormat="1" applyFont="1" applyFill="1" applyBorder="1" applyAlignment="1">
      <alignment vertical="center"/>
    </xf>
    <xf numFmtId="43" fontId="18" fillId="2" borderId="1" xfId="4" applyFont="1" applyFill="1" applyBorder="1" applyAlignment="1">
      <alignment vertical="center"/>
    </xf>
    <xf numFmtId="10" fontId="19" fillId="2" borderId="1" xfId="4" applyNumberFormat="1" applyFont="1" applyFill="1" applyBorder="1" applyAlignment="1">
      <alignment horizontal="center" vertical="center"/>
    </xf>
    <xf numFmtId="43" fontId="18" fillId="2" borderId="1" xfId="4" applyFont="1" applyFill="1" applyBorder="1" applyAlignment="1">
      <alignment horizontal="center" vertical="center"/>
    </xf>
    <xf numFmtId="43" fontId="16" fillId="2" borderId="0" xfId="4" applyFont="1" applyFill="1" applyAlignment="1">
      <alignment vertical="center"/>
    </xf>
    <xf numFmtId="0" fontId="15" fillId="2" borderId="3" xfId="4" applyNumberFormat="1" applyFont="1" applyFill="1" applyBorder="1" applyAlignment="1">
      <alignment horizontal="center" vertical="center"/>
    </xf>
    <xf numFmtId="49" fontId="15" fillId="2" borderId="3" xfId="4" applyNumberFormat="1" applyFont="1" applyFill="1" applyBorder="1" applyAlignment="1">
      <alignment vertical="center"/>
    </xf>
    <xf numFmtId="43" fontId="15" fillId="2" borderId="0" xfId="4" applyFont="1" applyFill="1" applyBorder="1" applyAlignment="1">
      <alignment vertical="center"/>
    </xf>
    <xf numFmtId="49" fontId="15" fillId="2" borderId="2" xfId="4" applyNumberFormat="1" applyFont="1" applyFill="1" applyBorder="1" applyAlignment="1">
      <alignment vertical="center"/>
    </xf>
    <xf numFmtId="14" fontId="15" fillId="2" borderId="2" xfId="3" applyNumberFormat="1" applyFont="1" applyFill="1" applyBorder="1" applyAlignment="1">
      <alignment horizontal="center" vertical="center" wrapText="1"/>
    </xf>
    <xf numFmtId="164" fontId="15" fillId="2" borderId="2" xfId="4" applyNumberFormat="1" applyFont="1" applyFill="1" applyBorder="1" applyAlignment="1">
      <alignment vertical="center"/>
    </xf>
    <xf numFmtId="10" fontId="15" fillId="2" borderId="2" xfId="4" applyNumberFormat="1" applyFont="1" applyFill="1" applyBorder="1" applyAlignment="1">
      <alignment horizontal="center" vertical="center"/>
    </xf>
    <xf numFmtId="43" fontId="15" fillId="2" borderId="2" xfId="4" applyFont="1" applyFill="1" applyBorder="1" applyAlignment="1">
      <alignment horizontal="center" vertical="center"/>
    </xf>
    <xf numFmtId="0" fontId="15" fillId="2" borderId="6" xfId="4" applyNumberFormat="1" applyFont="1" applyFill="1" applyBorder="1" applyAlignment="1">
      <alignment horizontal="center" vertical="center"/>
    </xf>
    <xf numFmtId="49" fontId="15" fillId="2" borderId="6" xfId="4" applyNumberFormat="1" applyFont="1" applyFill="1" applyBorder="1" applyAlignment="1">
      <alignment vertical="center"/>
    </xf>
    <xf numFmtId="14" fontId="15" fillId="2" borderId="6" xfId="3" applyNumberFormat="1" applyFont="1" applyFill="1" applyBorder="1" applyAlignment="1">
      <alignment horizontal="center" vertical="center" wrapText="1"/>
    </xf>
    <xf numFmtId="43" fontId="15" fillId="2" borderId="6" xfId="4" applyFont="1" applyFill="1" applyBorder="1" applyAlignment="1">
      <alignment vertical="center"/>
    </xf>
    <xf numFmtId="164" fontId="15" fillId="2" borderId="6" xfId="4" applyNumberFormat="1" applyFont="1" applyFill="1" applyBorder="1" applyAlignment="1">
      <alignment vertical="center"/>
    </xf>
    <xf numFmtId="14" fontId="14" fillId="2" borderId="6" xfId="3" applyNumberFormat="1" applyFont="1" applyFill="1" applyBorder="1" applyAlignment="1">
      <alignment horizontal="center" vertical="center" wrapText="1"/>
    </xf>
    <xf numFmtId="10" fontId="15" fillId="2" borderId="6" xfId="4" applyNumberFormat="1" applyFont="1" applyFill="1" applyBorder="1" applyAlignment="1">
      <alignment horizontal="center" vertical="center"/>
    </xf>
    <xf numFmtId="43" fontId="15" fillId="2" borderId="6" xfId="4" applyFont="1" applyFill="1" applyBorder="1" applyAlignment="1">
      <alignment horizontal="center" vertical="center"/>
    </xf>
    <xf numFmtId="10" fontId="14" fillId="2" borderId="2" xfId="4" applyNumberFormat="1" applyFont="1" applyFill="1" applyBorder="1" applyAlignment="1">
      <alignment horizontal="center" vertical="center"/>
    </xf>
    <xf numFmtId="14" fontId="14" fillId="2" borderId="7" xfId="3" applyNumberFormat="1" applyFont="1" applyFill="1" applyBorder="1" applyAlignment="1">
      <alignment horizontal="center" vertical="center" wrapText="1"/>
    </xf>
    <xf numFmtId="43" fontId="14" fillId="2" borderId="7" xfId="4" applyFont="1" applyFill="1" applyBorder="1" applyAlignment="1">
      <alignment vertical="center"/>
    </xf>
    <xf numFmtId="164" fontId="14" fillId="2" borderId="7" xfId="4" applyNumberFormat="1" applyFont="1" applyFill="1" applyBorder="1" applyAlignment="1">
      <alignment vertical="center"/>
    </xf>
    <xf numFmtId="14" fontId="18" fillId="2" borderId="1" xfId="4" applyNumberFormat="1" applyFont="1" applyFill="1" applyBorder="1" applyAlignment="1">
      <alignment horizontal="center" vertical="center"/>
    </xf>
    <xf numFmtId="43" fontId="19" fillId="2" borderId="1" xfId="4" applyFont="1" applyFill="1" applyBorder="1" applyAlignment="1">
      <alignment vertical="center"/>
    </xf>
    <xf numFmtId="43" fontId="19" fillId="2" borderId="1" xfId="4" applyFont="1" applyFill="1" applyBorder="1" applyAlignment="1">
      <alignment horizontal="center" vertical="center"/>
    </xf>
    <xf numFmtId="43" fontId="20" fillId="2" borderId="0" xfId="4" applyFont="1" applyFill="1" applyAlignment="1">
      <alignment vertical="center"/>
    </xf>
    <xf numFmtId="14" fontId="15" fillId="2" borderId="3" xfId="3" applyNumberFormat="1" applyFont="1" applyFill="1" applyBorder="1" applyAlignment="1">
      <alignment horizontal="center"/>
    </xf>
    <xf numFmtId="43" fontId="15" fillId="2" borderId="8" xfId="4" applyFont="1" applyFill="1" applyBorder="1" applyAlignment="1">
      <alignment horizontal="center" vertical="center"/>
    </xf>
    <xf numFmtId="14" fontId="15" fillId="2" borderId="7" xfId="3" applyNumberFormat="1" applyFont="1" applyFill="1" applyBorder="1" applyAlignment="1">
      <alignment horizontal="center" vertical="center" wrapText="1"/>
    </xf>
    <xf numFmtId="164" fontId="15" fillId="2" borderId="7" xfId="4" applyNumberFormat="1" applyFont="1" applyFill="1" applyBorder="1" applyAlignment="1">
      <alignment vertical="center"/>
    </xf>
    <xf numFmtId="43" fontId="15" fillId="2" borderId="7" xfId="4" applyFont="1" applyFill="1" applyBorder="1" applyAlignment="1">
      <alignment vertical="center"/>
    </xf>
    <xf numFmtId="0" fontId="21" fillId="2" borderId="0" xfId="3" applyFont="1" applyFill="1" applyAlignment="1">
      <alignment horizontal="center"/>
    </xf>
    <xf numFmtId="0" fontId="21" fillId="2" borderId="0" xfId="3" applyFont="1" applyFill="1"/>
    <xf numFmtId="14" fontId="21" fillId="2" borderId="0" xfId="3" applyNumberFormat="1" applyFont="1" applyFill="1" applyAlignment="1">
      <alignment horizontal="center"/>
    </xf>
    <xf numFmtId="164" fontId="21" fillId="2" borderId="0" xfId="4" applyNumberFormat="1" applyFont="1" applyFill="1"/>
    <xf numFmtId="43" fontId="21" fillId="2" borderId="0" xfId="3" applyNumberFormat="1" applyFont="1" applyFill="1"/>
    <xf numFmtId="14" fontId="22" fillId="2" borderId="0" xfId="4" applyNumberFormat="1" applyFont="1" applyFill="1" applyAlignment="1">
      <alignment horizontal="center"/>
    </xf>
    <xf numFmtId="164" fontId="22" fillId="2" borderId="0" xfId="4" applyNumberFormat="1" applyFont="1" applyFill="1"/>
    <xf numFmtId="43" fontId="21" fillId="2" borderId="0" xfId="4" applyFont="1" applyFill="1"/>
    <xf numFmtId="164" fontId="23" fillId="2" borderId="0" xfId="4" applyNumberFormat="1" applyFont="1" applyFill="1"/>
    <xf numFmtId="0" fontId="23" fillId="2" borderId="0" xfId="3" applyFont="1" applyFill="1"/>
    <xf numFmtId="0" fontId="23" fillId="2" borderId="0" xfId="3" applyFont="1" applyFill="1" applyAlignment="1">
      <alignment horizontal="center"/>
    </xf>
    <xf numFmtId="43" fontId="23" fillId="2" borderId="0" xfId="4" applyFont="1" applyFill="1"/>
    <xf numFmtId="164" fontId="3" fillId="2" borderId="1" xfId="4" applyNumberFormat="1" applyFont="1" applyFill="1" applyBorder="1" applyAlignment="1">
      <alignment horizontal="center" vertical="center" wrapText="1"/>
    </xf>
    <xf numFmtId="172" fontId="14" fillId="2" borderId="2" xfId="4" applyNumberFormat="1" applyFont="1" applyFill="1" applyBorder="1" applyAlignment="1">
      <alignment horizontal="center" vertical="center"/>
    </xf>
    <xf numFmtId="172" fontId="15" fillId="2" borderId="2" xfId="4" applyNumberFormat="1" applyFont="1" applyFill="1" applyBorder="1" applyAlignment="1">
      <alignment horizontal="center" vertical="center"/>
    </xf>
    <xf numFmtId="14" fontId="15" fillId="2" borderId="3" xfId="3" applyNumberFormat="1" applyFont="1" applyFill="1" applyBorder="1" applyAlignment="1">
      <alignment horizontal="center" vertical="center"/>
    </xf>
    <xf numFmtId="14" fontId="15" fillId="2" borderId="0" xfId="4" applyNumberFormat="1" applyFont="1" applyFill="1" applyBorder="1" applyAlignment="1">
      <alignment vertical="center"/>
    </xf>
    <xf numFmtId="14" fontId="14" fillId="2" borderId="0" xfId="4" applyNumberFormat="1" applyFont="1" applyFill="1" applyBorder="1" applyAlignment="1">
      <alignment vertical="center"/>
    </xf>
    <xf numFmtId="43" fontId="14" fillId="2" borderId="0" xfId="1" applyFont="1" applyFill="1" applyBorder="1" applyAlignment="1">
      <alignment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4" fontId="5" fillId="2" borderId="0" xfId="4" applyNumberFormat="1" applyFont="1" applyFill="1" applyAlignment="1">
      <alignment horizontal="center" vertical="center"/>
    </xf>
    <xf numFmtId="14" fontId="14" fillId="2" borderId="5" xfId="3" applyNumberFormat="1" applyFont="1" applyFill="1" applyBorder="1" applyAlignment="1">
      <alignment horizontal="center"/>
    </xf>
    <xf numFmtId="14" fontId="3" fillId="2" borderId="1" xfId="4" applyNumberFormat="1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49" fontId="14" fillId="2" borderId="3" xfId="4" applyNumberFormat="1" applyFont="1" applyFill="1" applyBorder="1" applyAlignment="1">
      <alignment vertical="center"/>
    </xf>
    <xf numFmtId="0" fontId="14" fillId="2" borderId="6" xfId="4" applyNumberFormat="1" applyFont="1" applyFill="1" applyBorder="1" applyAlignment="1">
      <alignment horizontal="center" vertical="center"/>
    </xf>
    <xf numFmtId="49" fontId="14" fillId="2" borderId="6" xfId="4" applyNumberFormat="1" applyFont="1" applyFill="1" applyBorder="1" applyAlignment="1">
      <alignment vertical="center"/>
    </xf>
    <xf numFmtId="43" fontId="14" fillId="2" borderId="6" xfId="4" applyFont="1" applyFill="1" applyBorder="1" applyAlignment="1">
      <alignment vertical="center"/>
    </xf>
    <xf numFmtId="164" fontId="14" fillId="2" borderId="6" xfId="4" applyNumberFormat="1" applyFont="1" applyFill="1" applyBorder="1" applyAlignment="1">
      <alignment vertical="center"/>
    </xf>
    <xf numFmtId="10" fontId="14" fillId="2" borderId="6" xfId="4" applyNumberFormat="1" applyFont="1" applyFill="1" applyBorder="1" applyAlignment="1">
      <alignment horizontal="center" vertical="center"/>
    </xf>
    <xf numFmtId="43" fontId="14" fillId="2" borderId="6" xfId="4" applyFont="1" applyFill="1" applyBorder="1" applyAlignment="1">
      <alignment horizontal="center" vertical="center"/>
    </xf>
    <xf numFmtId="10" fontId="18" fillId="2" borderId="1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/>
    </xf>
    <xf numFmtId="43" fontId="14" fillId="2" borderId="8" xfId="4" applyFont="1" applyFill="1" applyBorder="1" applyAlignment="1">
      <alignment horizontal="center" vertical="center"/>
    </xf>
    <xf numFmtId="14" fontId="21" fillId="2" borderId="0" xfId="4" applyNumberFormat="1" applyFont="1" applyFill="1" applyAlignment="1">
      <alignment horizontal="center"/>
    </xf>
    <xf numFmtId="0" fontId="36" fillId="2" borderId="0" xfId="3" applyFont="1" applyFill="1" applyAlignment="1">
      <alignment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0" fontId="14" fillId="2" borderId="2" xfId="1" applyNumberFormat="1" applyFont="1" applyFill="1" applyBorder="1" applyAlignment="1">
      <alignment horizontal="center" vertical="center"/>
    </xf>
    <xf numFmtId="43" fontId="21" fillId="2" borderId="0" xfId="1" applyFont="1" applyFill="1"/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43" fontId="20" fillId="2" borderId="1" xfId="4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/>
    </xf>
    <xf numFmtId="164" fontId="3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49" fontId="16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22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64" customWidth="1"/>
    <col min="2" max="2" width="16.140625" style="65" customWidth="1"/>
    <col min="3" max="4" width="8.28515625" style="66" customWidth="1"/>
    <col min="5" max="5" width="12.7109375" style="67" customWidth="1"/>
    <col min="6" max="6" width="11" style="71" customWidth="1"/>
    <col min="7" max="7" width="8" style="67" hidden="1" customWidth="1"/>
    <col min="8" max="8" width="7.5703125" style="103" customWidth="1"/>
    <col min="9" max="9" width="11" style="67" customWidth="1"/>
    <col min="10" max="10" width="10" style="67" hidden="1" customWidth="1"/>
    <col min="11" max="11" width="13.140625" style="67" customWidth="1"/>
    <col min="12" max="12" width="11" style="71" customWidth="1"/>
    <col min="13" max="13" width="10.7109375" style="67" customWidth="1"/>
    <col min="14" max="14" width="7.28515625" style="67" customWidth="1"/>
    <col min="15" max="15" width="8.140625" style="65" customWidth="1"/>
    <col min="16" max="16" width="8" style="64" customWidth="1"/>
    <col min="17" max="17" width="6.28515625" style="64" customWidth="1"/>
    <col min="18" max="18" width="16.28515625" style="64" customWidth="1"/>
    <col min="19" max="19" width="15.85546875" style="65" customWidth="1"/>
    <col min="20" max="16384" width="9.140625" style="65"/>
  </cols>
  <sheetData>
    <row r="1" spans="1:19" s="11" customFormat="1" ht="17.25" customHeight="1">
      <c r="A1" s="1"/>
      <c r="B1" s="104" t="s">
        <v>59</v>
      </c>
      <c r="C1" s="3"/>
      <c r="D1" s="4"/>
      <c r="E1" s="5"/>
      <c r="F1" s="6"/>
      <c r="G1" s="5"/>
      <c r="H1" s="89"/>
      <c r="I1" s="5"/>
      <c r="J1" s="5"/>
      <c r="K1" s="5"/>
      <c r="L1" s="90"/>
      <c r="M1" s="90"/>
      <c r="N1" s="90"/>
      <c r="O1" s="90"/>
      <c r="P1" s="90"/>
      <c r="Q1" s="1"/>
      <c r="R1" s="1"/>
    </row>
    <row r="2" spans="1:19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1" t="s">
        <v>6</v>
      </c>
      <c r="I2" s="131"/>
      <c r="J2" s="131"/>
      <c r="K2" s="131" t="s">
        <v>7</v>
      </c>
      <c r="L2" s="131"/>
      <c r="M2" s="131" t="s">
        <v>8</v>
      </c>
      <c r="N2" s="131"/>
      <c r="O2" s="131"/>
      <c r="P2" s="131"/>
      <c r="Q2" s="132" t="s">
        <v>9</v>
      </c>
      <c r="R2" s="128" t="s">
        <v>10</v>
      </c>
    </row>
    <row r="3" spans="1:19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91" t="s">
        <v>14</v>
      </c>
      <c r="I3" s="88" t="s">
        <v>13</v>
      </c>
      <c r="J3" s="88" t="s">
        <v>0</v>
      </c>
      <c r="K3" s="88" t="s">
        <v>13</v>
      </c>
      <c r="L3" s="15" t="s">
        <v>0</v>
      </c>
      <c r="M3" s="88" t="s">
        <v>16</v>
      </c>
      <c r="N3" s="87" t="s">
        <v>18</v>
      </c>
      <c r="O3" s="92" t="s">
        <v>48</v>
      </c>
      <c r="P3" s="92" t="s">
        <v>19</v>
      </c>
      <c r="Q3" s="132"/>
      <c r="R3" s="128"/>
    </row>
    <row r="4" spans="1:19" s="22" customFormat="1" ht="17.25" customHeight="1">
      <c r="A4" s="18">
        <f>ROW()-3</f>
        <v>1</v>
      </c>
      <c r="B4" s="23" t="s">
        <v>45</v>
      </c>
      <c r="C4" s="24">
        <v>42552</v>
      </c>
      <c r="D4" s="24">
        <v>42736</v>
      </c>
      <c r="E4" s="25"/>
      <c r="F4" s="25">
        <v>43000</v>
      </c>
      <c r="G4" s="26"/>
      <c r="H4" s="24"/>
      <c r="I4" s="25"/>
      <c r="J4" s="25"/>
      <c r="K4" s="20"/>
      <c r="L4" s="20">
        <f>F4-J4</f>
        <v>43000</v>
      </c>
      <c r="M4" s="25"/>
      <c r="N4" s="25">
        <f>IF((LEFT(B4,4)="1402"),F4*Q4*DATEDIF(DATE(YEAR(P4),MONTH(P4)-1,IF(MONTH(C4)=(MONTH(P4)-1),DAY(C4),16)),P4,"d")/360,0)</f>
        <v>92.569444444444443</v>
      </c>
      <c r="O4" s="25">
        <f>IF((LEFT(B4,4)="1025"),F4*Q4*DATEDIF(DATE(YEAR(P4),MONTH(P4)-1,IF(MONTH(C4)=(MONTH($N$1)-1),DAY(C4),16)),P4,"d")/360,0)</f>
        <v>0</v>
      </c>
      <c r="P4" s="19">
        <v>42751</v>
      </c>
      <c r="Q4" s="77">
        <v>2.5000000000000001E-2</v>
      </c>
      <c r="R4" s="28" t="s">
        <v>20</v>
      </c>
    </row>
    <row r="5" spans="1:19" s="22" customFormat="1" ht="17.25" customHeight="1">
      <c r="A5" s="18">
        <f t="shared" ref="A5:A7" si="0">ROW()-3</f>
        <v>2</v>
      </c>
      <c r="B5" s="23" t="s">
        <v>44</v>
      </c>
      <c r="C5" s="24">
        <v>42586</v>
      </c>
      <c r="D5" s="24">
        <v>42770</v>
      </c>
      <c r="E5" s="25"/>
      <c r="F5" s="25">
        <v>52300</v>
      </c>
      <c r="G5" s="26"/>
      <c r="H5" s="24"/>
      <c r="I5" s="25"/>
      <c r="J5" s="25"/>
      <c r="K5" s="20"/>
      <c r="L5" s="20">
        <f>F5-J5</f>
        <v>52300</v>
      </c>
      <c r="M5" s="25"/>
      <c r="N5" s="25">
        <f>IF((LEFT(B5,4)="1402"),F5*Q5*DATEDIF(DATE(YEAR(P5),MONTH(P5)-1,IF(MONTH(C5)=(MONTH(P5)-1),DAY(C5),16)),P5,"d")/360,0)</f>
        <v>112.59027777777777</v>
      </c>
      <c r="O5" s="25">
        <f>IF((LEFT(B5,4)="1025"),F5*Q5*DATEDIF(DATE(YEAR(P5),MONTH(P5)-1,IF(MONTH(C5)=(MONTH($N$1)-1),DAY(C5),16)),P5,"d")/360,0)</f>
        <v>0</v>
      </c>
      <c r="P5" s="19">
        <v>42751</v>
      </c>
      <c r="Q5" s="77">
        <v>2.5000000000000001E-2</v>
      </c>
      <c r="R5" s="28" t="s">
        <v>21</v>
      </c>
    </row>
    <row r="6" spans="1:19" s="22" customFormat="1" ht="17.25" customHeight="1">
      <c r="A6" s="18">
        <f t="shared" si="0"/>
        <v>3</v>
      </c>
      <c r="B6" s="23" t="s">
        <v>57</v>
      </c>
      <c r="C6" s="24">
        <v>42718</v>
      </c>
      <c r="D6" s="24">
        <v>42900</v>
      </c>
      <c r="E6" s="25"/>
      <c r="F6" s="25">
        <v>93000</v>
      </c>
      <c r="G6" s="26"/>
      <c r="H6" s="24"/>
      <c r="I6" s="25"/>
      <c r="J6" s="25"/>
      <c r="K6" s="20"/>
      <c r="L6" s="20">
        <f>F6-J6</f>
        <v>93000</v>
      </c>
      <c r="M6" s="25"/>
      <c r="N6" s="25">
        <f>IF((LEFT(B6,4)="1402"),F6*Q6*DATEDIF(DATE(YEAR(P6),MONTH(P6)-1,IF(MONTH(C6)=(MONTH(P6)-1),DAY(C6),16)),P6,"d")/360,0)</f>
        <v>200.20833333333334</v>
      </c>
      <c r="O6" s="25">
        <f>IF((LEFT(B6,4)="1025"),F6*Q6*DATEDIF(DATE(YEAR(P6),MONTH(P6)-1,IF(MONTH(C6)=(MONTH($N$1)-1),DAY(C6),16)),P6,"d")/360,0)</f>
        <v>0</v>
      </c>
      <c r="P6" s="19">
        <v>42751</v>
      </c>
      <c r="Q6" s="77">
        <v>2.5000000000000001E-2</v>
      </c>
      <c r="R6" s="28" t="s">
        <v>20</v>
      </c>
    </row>
    <row r="7" spans="1:19" s="22" customFormat="1" ht="17.25" customHeight="1">
      <c r="A7" s="18">
        <f t="shared" si="0"/>
        <v>4</v>
      </c>
      <c r="B7" s="93" t="s">
        <v>56</v>
      </c>
      <c r="C7" s="24">
        <v>42710</v>
      </c>
      <c r="D7" s="24">
        <v>42892</v>
      </c>
      <c r="E7" s="25"/>
      <c r="F7" s="25">
        <v>70500</v>
      </c>
      <c r="G7" s="26"/>
      <c r="H7" s="24"/>
      <c r="I7" s="25"/>
      <c r="J7" s="25"/>
      <c r="K7" s="20"/>
      <c r="L7" s="20">
        <f>F7-J7</f>
        <v>70500</v>
      </c>
      <c r="M7" s="25"/>
      <c r="N7" s="25">
        <f>IF((LEFT(B7,4)="1402"),F7*Q7*DATEDIF(DATE(YEAR(P7),MONTH(P7)-1,IF(MONTH(C7)=(MONTH(P7)-1),DAY(C7),16)),P7,"d")/360,0)</f>
        <v>151.77083333333334</v>
      </c>
      <c r="O7" s="25">
        <f>IF((LEFT(B7,4)="1025"),F7*Q7*DATEDIF(DATE(YEAR(P7),MONTH(P7)-1,IF(MONTH(C7)=(MONTH($N$1)-1),DAY(C7),16)),P7,"d")/360,0)</f>
        <v>0</v>
      </c>
      <c r="P7" s="19">
        <v>42751</v>
      </c>
      <c r="Q7" s="77">
        <v>2.5000000000000001E-2</v>
      </c>
      <c r="R7" s="28" t="s">
        <v>20</v>
      </c>
    </row>
    <row r="8" spans="1:19" s="22" customFormat="1" ht="17.25" customHeight="1">
      <c r="A8" s="94"/>
      <c r="B8" s="95"/>
      <c r="C8" s="48"/>
      <c r="D8" s="48"/>
      <c r="E8" s="96"/>
      <c r="F8" s="96"/>
      <c r="G8" s="97"/>
      <c r="H8" s="48"/>
      <c r="I8" s="96"/>
      <c r="J8" s="96"/>
      <c r="K8" s="96"/>
      <c r="L8" s="96"/>
      <c r="M8" s="96"/>
      <c r="N8" s="96"/>
      <c r="O8" s="96"/>
      <c r="P8" s="48"/>
      <c r="Q8" s="98"/>
      <c r="R8" s="99"/>
    </row>
    <row r="9" spans="1:19" s="34" customFormat="1" ht="17.25" customHeight="1">
      <c r="A9" s="133" t="s">
        <v>22</v>
      </c>
      <c r="B9" s="133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1">
        <f>SUM(N4:N8)</f>
        <v>557.13888888888891</v>
      </c>
      <c r="O9" s="31">
        <f>SUM(O4:O8)</f>
        <v>0</v>
      </c>
      <c r="P9" s="29"/>
      <c r="Q9" s="100"/>
      <c r="R9" s="33"/>
      <c r="S9" s="22"/>
    </row>
    <row r="10" spans="1:19" s="22" customFormat="1" ht="17.25" customHeight="1">
      <c r="A10" s="18">
        <f t="shared" ref="A10:A25" si="1">ROW()-9</f>
        <v>1</v>
      </c>
      <c r="B10" s="23" t="s">
        <v>43</v>
      </c>
      <c r="C10" s="24">
        <v>42600</v>
      </c>
      <c r="D10" s="24">
        <v>42784</v>
      </c>
      <c r="E10" s="26"/>
      <c r="F10" s="25">
        <v>63000</v>
      </c>
      <c r="G10" s="26"/>
      <c r="H10" s="24"/>
      <c r="I10" s="25"/>
      <c r="J10" s="25"/>
      <c r="K10" s="20"/>
      <c r="L10" s="20">
        <f t="shared" ref="L10:L25" si="2">F10-J10</f>
        <v>63000</v>
      </c>
      <c r="M10" s="25"/>
      <c r="N10" s="25">
        <f t="shared" ref="N10:N25" si="3">IF((LEFT(B10,4)="1402"),F10*Q10*DATEDIF(DATE(YEAR(P10),MONTH(P10)-1,IF(MONTH(C10)=(MONTH(P10)-1),DAY(C10),16)),P10,"d")/360,0)</f>
        <v>0</v>
      </c>
      <c r="O10" s="2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9">
        <v>42757</v>
      </c>
      <c r="Q10" s="77">
        <v>0.03</v>
      </c>
      <c r="R10" s="28" t="s">
        <v>52</v>
      </c>
      <c r="S10" s="81"/>
    </row>
    <row r="11" spans="1:19" s="22" customFormat="1" ht="17.25" customHeight="1">
      <c r="A11" s="18">
        <f t="shared" si="1"/>
        <v>2</v>
      </c>
      <c r="B11" s="23" t="s">
        <v>47</v>
      </c>
      <c r="C11" s="24">
        <v>42612</v>
      </c>
      <c r="D11" s="24">
        <v>42794</v>
      </c>
      <c r="E11" s="26"/>
      <c r="F11" s="25">
        <v>89500</v>
      </c>
      <c r="G11" s="26"/>
      <c r="H11" s="24"/>
      <c r="I11" s="25"/>
      <c r="J11" s="25"/>
      <c r="K11" s="20"/>
      <c r="L11" s="20">
        <f t="shared" si="2"/>
        <v>89500</v>
      </c>
      <c r="M11" s="25"/>
      <c r="N11" s="25">
        <f t="shared" si="3"/>
        <v>0</v>
      </c>
      <c r="O11" s="25">
        <f t="shared" si="4"/>
        <v>231.20833333333334</v>
      </c>
      <c r="P11" s="19">
        <v>42757</v>
      </c>
      <c r="Q11" s="77">
        <v>0.03</v>
      </c>
      <c r="R11" s="28" t="s">
        <v>52</v>
      </c>
      <c r="S11" s="81"/>
    </row>
    <row r="12" spans="1:19" s="22" customFormat="1" ht="17.25" customHeight="1">
      <c r="A12" s="18">
        <f t="shared" si="1"/>
        <v>3</v>
      </c>
      <c r="B12" s="23" t="s">
        <v>49</v>
      </c>
      <c r="C12" s="24">
        <v>42626</v>
      </c>
      <c r="D12" s="24">
        <v>42807</v>
      </c>
      <c r="E12" s="26"/>
      <c r="F12" s="25">
        <v>88000</v>
      </c>
      <c r="G12" s="26"/>
      <c r="H12" s="24"/>
      <c r="I12" s="25"/>
      <c r="J12" s="25"/>
      <c r="K12" s="20"/>
      <c r="L12" s="20">
        <f t="shared" si="2"/>
        <v>88000</v>
      </c>
      <c r="M12" s="25"/>
      <c r="N12" s="25">
        <f t="shared" si="3"/>
        <v>0</v>
      </c>
      <c r="O12" s="25">
        <f t="shared" si="4"/>
        <v>227.33333333333334</v>
      </c>
      <c r="P12" s="19">
        <v>42757</v>
      </c>
      <c r="Q12" s="77">
        <v>0.03</v>
      </c>
      <c r="R12" s="28" t="s">
        <v>52</v>
      </c>
    </row>
    <row r="13" spans="1:19" s="22" customFormat="1" ht="17.25" customHeight="1">
      <c r="A13" s="18">
        <f t="shared" si="1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0"/>
      <c r="L13" s="20">
        <f t="shared" si="2"/>
        <v>96000</v>
      </c>
      <c r="M13" s="25"/>
      <c r="N13" s="25">
        <f t="shared" si="3"/>
        <v>0</v>
      </c>
      <c r="O13" s="25">
        <f t="shared" si="4"/>
        <v>248</v>
      </c>
      <c r="P13" s="19">
        <v>42757</v>
      </c>
      <c r="Q13" s="77">
        <v>0.03</v>
      </c>
      <c r="R13" s="28" t="s">
        <v>52</v>
      </c>
      <c r="S13" s="81"/>
    </row>
    <row r="14" spans="1:19" s="22" customFormat="1" ht="17.25" customHeight="1">
      <c r="A14" s="18">
        <f t="shared" si="1"/>
        <v>5</v>
      </c>
      <c r="B14" s="23" t="s">
        <v>51</v>
      </c>
      <c r="C14" s="24">
        <v>42660</v>
      </c>
      <c r="D14" s="24">
        <v>42842</v>
      </c>
      <c r="E14" s="26"/>
      <c r="F14" s="25">
        <v>96000</v>
      </c>
      <c r="G14" s="26"/>
      <c r="H14" s="24"/>
      <c r="I14" s="25"/>
      <c r="J14" s="25"/>
      <c r="K14" s="20"/>
      <c r="L14" s="20">
        <f t="shared" si="2"/>
        <v>96000</v>
      </c>
      <c r="M14" s="25"/>
      <c r="N14" s="25">
        <f t="shared" si="3"/>
        <v>0</v>
      </c>
      <c r="O14" s="25">
        <f t="shared" si="4"/>
        <v>248</v>
      </c>
      <c r="P14" s="19">
        <v>42757</v>
      </c>
      <c r="Q14" s="77">
        <v>0.03</v>
      </c>
      <c r="R14" s="28" t="s">
        <v>52</v>
      </c>
    </row>
    <row r="15" spans="1:19" s="22" customFormat="1" ht="17.25" customHeight="1">
      <c r="A15" s="18">
        <f t="shared" si="1"/>
        <v>6</v>
      </c>
      <c r="B15" s="23" t="s">
        <v>66</v>
      </c>
      <c r="C15" s="24">
        <v>42684</v>
      </c>
      <c r="D15" s="24">
        <v>42865</v>
      </c>
      <c r="E15" s="26"/>
      <c r="F15" s="25">
        <v>82000</v>
      </c>
      <c r="G15" s="26"/>
      <c r="H15" s="24"/>
      <c r="I15" s="25"/>
      <c r="J15" s="25"/>
      <c r="K15" s="20"/>
      <c r="L15" s="20">
        <f t="shared" si="2"/>
        <v>82000</v>
      </c>
      <c r="M15" s="25"/>
      <c r="N15" s="25">
        <f t="shared" si="3"/>
        <v>0</v>
      </c>
      <c r="O15" s="25">
        <f t="shared" si="4"/>
        <v>211.83333333333334</v>
      </c>
      <c r="P15" s="19">
        <v>42757</v>
      </c>
      <c r="Q15" s="77">
        <v>0.03</v>
      </c>
      <c r="R15" s="28" t="s">
        <v>52</v>
      </c>
    </row>
    <row r="16" spans="1:19" s="22" customFormat="1" ht="17.25" customHeight="1">
      <c r="A16" s="18">
        <f t="shared" si="1"/>
        <v>7</v>
      </c>
      <c r="B16" s="23" t="s">
        <v>67</v>
      </c>
      <c r="C16" s="24">
        <v>42689</v>
      </c>
      <c r="D16" s="24">
        <v>42870</v>
      </c>
      <c r="E16" s="26"/>
      <c r="F16" s="25">
        <v>89000</v>
      </c>
      <c r="G16" s="26"/>
      <c r="H16" s="24"/>
      <c r="I16" s="25"/>
      <c r="J16" s="25"/>
      <c r="K16" s="20"/>
      <c r="L16" s="20">
        <f t="shared" si="2"/>
        <v>89000</v>
      </c>
      <c r="M16" s="25"/>
      <c r="N16" s="25">
        <f t="shared" si="3"/>
        <v>0</v>
      </c>
      <c r="O16" s="25">
        <f t="shared" si="4"/>
        <v>229.91666666666666</v>
      </c>
      <c r="P16" s="19">
        <v>42757</v>
      </c>
      <c r="Q16" s="77">
        <v>0.03</v>
      </c>
      <c r="R16" s="28" t="s">
        <v>52</v>
      </c>
      <c r="S16" s="81"/>
    </row>
    <row r="17" spans="1:19" s="22" customFormat="1" ht="17.25" customHeight="1">
      <c r="A17" s="18">
        <f t="shared" si="1"/>
        <v>8</v>
      </c>
      <c r="B17" s="23" t="s">
        <v>68</v>
      </c>
      <c r="C17" s="52">
        <v>42717</v>
      </c>
      <c r="D17" s="24">
        <v>42899</v>
      </c>
      <c r="E17" s="26"/>
      <c r="F17" s="53">
        <v>50400</v>
      </c>
      <c r="G17" s="26"/>
      <c r="H17" s="52"/>
      <c r="I17" s="53"/>
      <c r="J17" s="53"/>
      <c r="K17" s="20"/>
      <c r="L17" s="20">
        <f t="shared" si="2"/>
        <v>50400</v>
      </c>
      <c r="M17" s="53"/>
      <c r="N17" s="25">
        <f t="shared" si="3"/>
        <v>0</v>
      </c>
      <c r="O17" s="25">
        <f t="shared" si="4"/>
        <v>130.19999999999999</v>
      </c>
      <c r="P17" s="19">
        <v>42757</v>
      </c>
      <c r="Q17" s="77">
        <v>0.03</v>
      </c>
      <c r="R17" s="28" t="s">
        <v>60</v>
      </c>
    </row>
    <row r="18" spans="1:19" s="22" customFormat="1" ht="17.25" customHeight="1">
      <c r="A18" s="18">
        <f t="shared" si="1"/>
        <v>9</v>
      </c>
      <c r="B18" s="23" t="s">
        <v>55</v>
      </c>
      <c r="C18" s="52">
        <v>42718</v>
      </c>
      <c r="D18" s="24">
        <v>42900</v>
      </c>
      <c r="E18" s="54"/>
      <c r="F18" s="53">
        <v>137000</v>
      </c>
      <c r="G18" s="26"/>
      <c r="H18" s="52"/>
      <c r="I18" s="53"/>
      <c r="J18" s="53"/>
      <c r="K18" s="20"/>
      <c r="L18" s="20">
        <f t="shared" si="2"/>
        <v>137000</v>
      </c>
      <c r="M18" s="53"/>
      <c r="N18" s="25">
        <f t="shared" si="3"/>
        <v>0</v>
      </c>
      <c r="O18" s="25">
        <f t="shared" si="4"/>
        <v>353.91666666666669</v>
      </c>
      <c r="P18" s="19">
        <v>42757</v>
      </c>
      <c r="Q18" s="77">
        <v>0.03</v>
      </c>
      <c r="R18" s="28" t="s">
        <v>52</v>
      </c>
      <c r="S18" s="82">
        <f>E17*Q17/12</f>
        <v>0</v>
      </c>
    </row>
    <row r="19" spans="1:19" s="22" customFormat="1" ht="17.25" customHeight="1">
      <c r="A19" s="18">
        <f t="shared" si="1"/>
        <v>10</v>
      </c>
      <c r="B19" s="23" t="s">
        <v>65</v>
      </c>
      <c r="C19" s="52">
        <v>42733</v>
      </c>
      <c r="D19" s="24">
        <v>42915</v>
      </c>
      <c r="E19" s="54"/>
      <c r="F19" s="53">
        <v>85000</v>
      </c>
      <c r="G19" s="26"/>
      <c r="H19" s="52"/>
      <c r="I19" s="53"/>
      <c r="J19" s="53"/>
      <c r="K19" s="20"/>
      <c r="L19" s="20">
        <f t="shared" si="2"/>
        <v>85000</v>
      </c>
      <c r="M19" s="53"/>
      <c r="N19" s="25">
        <f t="shared" si="3"/>
        <v>0</v>
      </c>
      <c r="O19" s="25">
        <f t="shared" si="4"/>
        <v>219.58333333333334</v>
      </c>
      <c r="P19" s="19">
        <v>42757</v>
      </c>
      <c r="Q19" s="77">
        <v>0.03</v>
      </c>
      <c r="R19" s="28" t="s">
        <v>52</v>
      </c>
      <c r="S19" s="81"/>
    </row>
    <row r="20" spans="1:19" s="22" customFormat="1" ht="17.25" customHeight="1">
      <c r="A20" s="18">
        <f t="shared" si="1"/>
        <v>11</v>
      </c>
      <c r="B20" s="23" t="s">
        <v>42</v>
      </c>
      <c r="C20" s="52">
        <v>42741</v>
      </c>
      <c r="D20" s="24">
        <v>42922</v>
      </c>
      <c r="E20" s="54"/>
      <c r="F20" s="53">
        <v>93000</v>
      </c>
      <c r="G20" s="54"/>
      <c r="H20" s="52"/>
      <c r="I20" s="53"/>
      <c r="J20" s="53"/>
      <c r="K20" s="20"/>
      <c r="L20" s="20">
        <f t="shared" si="2"/>
        <v>93000</v>
      </c>
      <c r="M20" s="53"/>
      <c r="N20" s="25">
        <f t="shared" si="3"/>
        <v>0</v>
      </c>
      <c r="O20" s="25">
        <f t="shared" si="4"/>
        <v>124</v>
      </c>
      <c r="P20" s="19">
        <v>42757</v>
      </c>
      <c r="Q20" s="77">
        <v>0.03</v>
      </c>
      <c r="R20" s="28" t="s">
        <v>52</v>
      </c>
      <c r="S20" s="81"/>
    </row>
    <row r="21" spans="1:19" s="22" customFormat="1" ht="17.25" customHeight="1">
      <c r="A21" s="18">
        <f t="shared" si="1"/>
        <v>12</v>
      </c>
      <c r="B21" s="23" t="s">
        <v>69</v>
      </c>
      <c r="C21" s="52">
        <v>42748</v>
      </c>
      <c r="D21" s="24">
        <v>42787</v>
      </c>
      <c r="E21" s="54"/>
      <c r="F21" s="53">
        <v>40000</v>
      </c>
      <c r="G21" s="54"/>
      <c r="H21" s="52"/>
      <c r="I21" s="53"/>
      <c r="J21" s="53"/>
      <c r="K21" s="20"/>
      <c r="L21" s="20">
        <f t="shared" si="2"/>
        <v>40000</v>
      </c>
      <c r="M21" s="53"/>
      <c r="N21" s="25">
        <f t="shared" si="3"/>
        <v>0</v>
      </c>
      <c r="O21" s="25">
        <f t="shared" si="4"/>
        <v>30</v>
      </c>
      <c r="P21" s="19">
        <v>42757</v>
      </c>
      <c r="Q21" s="77">
        <v>0.03</v>
      </c>
      <c r="R21" s="28" t="s">
        <v>61</v>
      </c>
    </row>
    <row r="22" spans="1:19" s="22" customFormat="1" ht="17.25" customHeight="1">
      <c r="A22" s="18">
        <f t="shared" si="1"/>
        <v>13</v>
      </c>
      <c r="B22" s="23" t="s">
        <v>70</v>
      </c>
      <c r="C22" s="52">
        <v>42751</v>
      </c>
      <c r="D22" s="24">
        <v>42791</v>
      </c>
      <c r="E22" s="54"/>
      <c r="F22" s="53">
        <v>102600</v>
      </c>
      <c r="G22" s="54"/>
      <c r="H22" s="52"/>
      <c r="I22" s="53"/>
      <c r="J22" s="53"/>
      <c r="K22" s="20"/>
      <c r="L22" s="20">
        <f t="shared" si="2"/>
        <v>102600</v>
      </c>
      <c r="M22" s="53"/>
      <c r="N22" s="25">
        <f t="shared" si="3"/>
        <v>0</v>
      </c>
      <c r="O22" s="25">
        <f t="shared" si="4"/>
        <v>51.3</v>
      </c>
      <c r="P22" s="19">
        <v>42757</v>
      </c>
      <c r="Q22" s="77">
        <v>0.03</v>
      </c>
      <c r="R22" s="28" t="s">
        <v>62</v>
      </c>
    </row>
    <row r="23" spans="1:19" s="22" customFormat="1" ht="17.25" customHeight="1">
      <c r="A23" s="18">
        <f t="shared" si="1"/>
        <v>14</v>
      </c>
      <c r="B23" s="23" t="s">
        <v>71</v>
      </c>
      <c r="C23" s="52">
        <v>42754</v>
      </c>
      <c r="D23" s="24">
        <v>42844</v>
      </c>
      <c r="E23" s="54"/>
      <c r="F23" s="53">
        <v>37584</v>
      </c>
      <c r="G23" s="54"/>
      <c r="H23" s="52"/>
      <c r="I23" s="53"/>
      <c r="J23" s="53"/>
      <c r="K23" s="20"/>
      <c r="L23" s="20">
        <f t="shared" si="2"/>
        <v>37584</v>
      </c>
      <c r="M23" s="53"/>
      <c r="N23" s="25">
        <f t="shared" si="3"/>
        <v>0</v>
      </c>
      <c r="O23" s="25">
        <f t="shared" si="4"/>
        <v>9.395999999999999</v>
      </c>
      <c r="P23" s="19">
        <v>42757</v>
      </c>
      <c r="Q23" s="77">
        <v>0.03</v>
      </c>
      <c r="R23" s="28" t="s">
        <v>63</v>
      </c>
    </row>
    <row r="24" spans="1:19" s="22" customFormat="1" ht="17.25" customHeight="1">
      <c r="A24" s="18">
        <f t="shared" si="1"/>
        <v>15</v>
      </c>
      <c r="B24" s="23" t="s">
        <v>72</v>
      </c>
      <c r="C24" s="52">
        <v>42754</v>
      </c>
      <c r="D24" s="24">
        <v>42788</v>
      </c>
      <c r="E24" s="54"/>
      <c r="F24" s="53">
        <v>41200</v>
      </c>
      <c r="G24" s="54"/>
      <c r="H24" s="52"/>
      <c r="I24" s="53"/>
      <c r="J24" s="53"/>
      <c r="K24" s="20"/>
      <c r="L24" s="20">
        <f t="shared" si="2"/>
        <v>41200</v>
      </c>
      <c r="M24" s="53"/>
      <c r="N24" s="25">
        <f t="shared" si="3"/>
        <v>0</v>
      </c>
      <c r="O24" s="25">
        <f t="shared" si="4"/>
        <v>10.3</v>
      </c>
      <c r="P24" s="19">
        <v>42757</v>
      </c>
      <c r="Q24" s="77">
        <v>0.03</v>
      </c>
      <c r="R24" s="28" t="s">
        <v>64</v>
      </c>
    </row>
    <row r="25" spans="1:19" s="22" customFormat="1" ht="17.25" customHeight="1">
      <c r="A25" s="18">
        <f t="shared" si="1"/>
        <v>16</v>
      </c>
      <c r="B25" s="23" t="s">
        <v>73</v>
      </c>
      <c r="C25" s="52">
        <v>42754</v>
      </c>
      <c r="D25" s="24">
        <v>42935</v>
      </c>
      <c r="E25" s="54"/>
      <c r="F25" s="53">
        <v>51100</v>
      </c>
      <c r="G25" s="54"/>
      <c r="H25" s="52"/>
      <c r="I25" s="53"/>
      <c r="J25" s="53"/>
      <c r="K25" s="20"/>
      <c r="L25" s="20">
        <f t="shared" si="2"/>
        <v>51100</v>
      </c>
      <c r="M25" s="53"/>
      <c r="N25" s="25">
        <f t="shared" si="3"/>
        <v>0</v>
      </c>
      <c r="O25" s="25">
        <f t="shared" si="4"/>
        <v>12.775</v>
      </c>
      <c r="P25" s="19">
        <v>42757</v>
      </c>
      <c r="Q25" s="77">
        <v>0.03</v>
      </c>
      <c r="R25" s="28" t="s">
        <v>60</v>
      </c>
    </row>
    <row r="26" spans="1:19" s="22" customFormat="1" ht="17.25" customHeight="1">
      <c r="A26" s="18"/>
      <c r="B26" s="23"/>
      <c r="C26" s="52"/>
      <c r="D26" s="24"/>
      <c r="E26" s="53"/>
      <c r="F26" s="53"/>
      <c r="G26" s="54"/>
      <c r="H26" s="52"/>
      <c r="I26" s="53"/>
      <c r="J26" s="53"/>
      <c r="K26" s="20"/>
      <c r="L26" s="20"/>
      <c r="M26" s="53"/>
      <c r="N26" s="25"/>
      <c r="O26" s="25"/>
      <c r="P26" s="19"/>
      <c r="Q26" s="77"/>
      <c r="R26" s="28"/>
    </row>
    <row r="27" spans="1:19" s="58" customFormat="1" ht="17.25" customHeight="1">
      <c r="A27" s="127" t="s">
        <v>46</v>
      </c>
      <c r="B27" s="127"/>
      <c r="C27" s="55"/>
      <c r="D27" s="55"/>
      <c r="E27" s="30">
        <f>SUM(E4:E26)</f>
        <v>0</v>
      </c>
      <c r="F27" s="31">
        <f>SUM(F10:F26)</f>
        <v>1241384</v>
      </c>
      <c r="G27" s="30">
        <f>SUM(G4:G16)</f>
        <v>0</v>
      </c>
      <c r="H27" s="29"/>
      <c r="I27" s="31">
        <f>SUM(I10:I26)</f>
        <v>0</v>
      </c>
      <c r="J27" s="31">
        <f>SUM(J10:J26)</f>
        <v>0</v>
      </c>
      <c r="K27" s="31">
        <f>SUM(K10:K26)</f>
        <v>0</v>
      </c>
      <c r="L27" s="31">
        <f>SUM(L10:L26)</f>
        <v>1241384</v>
      </c>
      <c r="M27" s="31">
        <f>SUM(M4:M14)</f>
        <v>0</v>
      </c>
      <c r="N27" s="31">
        <f>SUM(N10:N26)</f>
        <v>0</v>
      </c>
      <c r="O27" s="31">
        <f>SUM(O10:O26)</f>
        <v>2500.5126666666674</v>
      </c>
      <c r="P27" s="31"/>
      <c r="Q27" s="33"/>
      <c r="R27" s="33"/>
    </row>
    <row r="28" spans="1:19" s="22" customFormat="1" ht="17.25" customHeight="1">
      <c r="A28" s="18">
        <f>ROW()-27</f>
        <v>1</v>
      </c>
      <c r="B28" s="23" t="s">
        <v>23</v>
      </c>
      <c r="C28" s="24">
        <v>41870</v>
      </c>
      <c r="D28" s="24">
        <v>46253</v>
      </c>
      <c r="E28" s="26">
        <v>966640000</v>
      </c>
      <c r="F28" s="25"/>
      <c r="G28" s="26"/>
      <c r="H28" s="24">
        <v>42755</v>
      </c>
      <c r="I28" s="26">
        <v>8340000</v>
      </c>
      <c r="J28" s="25"/>
      <c r="K28" s="26">
        <f t="shared" ref="K28:K42" si="5">E28-I28</f>
        <v>958300000</v>
      </c>
      <c r="L28" s="25"/>
      <c r="M28" s="26">
        <f t="shared" ref="M28:M41" si="6">IF((LEFT(B28,4)="1402"),E28*Q28*DATEDIF(DATE(YEAR(P28),MONTH(P28)-1,IF(MONTH(C28)=(MONTH(P28)-1),DAY(C28),DAY(P28))),P28,"d")/360,0)</f>
        <v>7491460</v>
      </c>
      <c r="N28" s="25">
        <f t="shared" ref="N28:N42" si="7">IF((LEFT(B28,4)="1402"),F28*Q28*DATEDIF(DATE(YEAR(P28),MONTH(P28)-1,IF(MONTH(C28)=(MONTH(P28)-1),DAY(C28),16)),P28,"d")/360,0)</f>
        <v>0</v>
      </c>
      <c r="O28" s="25">
        <f t="shared" ref="O28:O42" si="8">IF((LEFT(B28,4)="1015"),F28*Q28*DATEDIF(P28,P$1,"d")/360,0)</f>
        <v>0</v>
      </c>
      <c r="P28" s="101">
        <f>H28</f>
        <v>42755</v>
      </c>
      <c r="Q28" s="77">
        <v>0.09</v>
      </c>
      <c r="R28" s="102" t="s">
        <v>24</v>
      </c>
    </row>
    <row r="29" spans="1:19" s="22" customFormat="1" ht="17.25" customHeight="1">
      <c r="A29" s="18">
        <f t="shared" ref="A29:A42" si="9">ROW()-27</f>
        <v>2</v>
      </c>
      <c r="B29" s="23" t="s">
        <v>25</v>
      </c>
      <c r="C29" s="24">
        <v>41905</v>
      </c>
      <c r="D29" s="24">
        <v>46253</v>
      </c>
      <c r="E29" s="26">
        <v>1933320000</v>
      </c>
      <c r="F29" s="25"/>
      <c r="G29" s="26"/>
      <c r="H29" s="24">
        <v>42755</v>
      </c>
      <c r="I29" s="26">
        <v>16670000</v>
      </c>
      <c r="J29" s="25"/>
      <c r="K29" s="26">
        <f t="shared" si="5"/>
        <v>1916650000</v>
      </c>
      <c r="L29" s="25"/>
      <c r="M29" s="26">
        <f t="shared" si="6"/>
        <v>14983230</v>
      </c>
      <c r="N29" s="25">
        <f t="shared" si="7"/>
        <v>0</v>
      </c>
      <c r="O29" s="25">
        <f t="shared" si="8"/>
        <v>0</v>
      </c>
      <c r="P29" s="101">
        <f t="shared" ref="P29:P42" si="10">H29</f>
        <v>42755</v>
      </c>
      <c r="Q29" s="77">
        <v>0.09</v>
      </c>
      <c r="R29" s="28" t="s">
        <v>24</v>
      </c>
    </row>
    <row r="30" spans="1:19" s="22" customFormat="1" ht="17.25" customHeight="1">
      <c r="A30" s="18">
        <f t="shared" si="9"/>
        <v>3</v>
      </c>
      <c r="B30" s="23" t="s">
        <v>26</v>
      </c>
      <c r="C30" s="52">
        <v>41934</v>
      </c>
      <c r="D30" s="24">
        <v>46253</v>
      </c>
      <c r="E30" s="54">
        <v>1546640000</v>
      </c>
      <c r="F30" s="53"/>
      <c r="G30" s="54"/>
      <c r="H30" s="24">
        <v>42755</v>
      </c>
      <c r="I30" s="54">
        <v>13340000</v>
      </c>
      <c r="J30" s="53"/>
      <c r="K30" s="26">
        <f t="shared" si="5"/>
        <v>1533300000</v>
      </c>
      <c r="L30" s="53"/>
      <c r="M30" s="26">
        <f t="shared" si="6"/>
        <v>11986460</v>
      </c>
      <c r="N30" s="25">
        <f t="shared" si="7"/>
        <v>0</v>
      </c>
      <c r="O30" s="25">
        <f t="shared" si="8"/>
        <v>0</v>
      </c>
      <c r="P30" s="101">
        <f t="shared" si="10"/>
        <v>42755</v>
      </c>
      <c r="Q30" s="77">
        <v>0.09</v>
      </c>
      <c r="R30" s="28" t="s">
        <v>24</v>
      </c>
    </row>
    <row r="31" spans="1:19" s="22" customFormat="1" ht="17.25" customHeight="1">
      <c r="A31" s="18">
        <f t="shared" si="9"/>
        <v>4</v>
      </c>
      <c r="B31" s="23" t="s">
        <v>27</v>
      </c>
      <c r="C31" s="52">
        <v>41963</v>
      </c>
      <c r="D31" s="24">
        <v>46253</v>
      </c>
      <c r="E31" s="54">
        <v>1475000000</v>
      </c>
      <c r="F31" s="53"/>
      <c r="G31" s="54"/>
      <c r="H31" s="24">
        <v>42755</v>
      </c>
      <c r="I31" s="54">
        <v>12500000</v>
      </c>
      <c r="J31" s="53"/>
      <c r="K31" s="26">
        <f t="shared" si="5"/>
        <v>1462500000</v>
      </c>
      <c r="L31" s="53"/>
      <c r="M31" s="26">
        <f t="shared" si="6"/>
        <v>11431250</v>
      </c>
      <c r="N31" s="25">
        <f t="shared" si="7"/>
        <v>0</v>
      </c>
      <c r="O31" s="25">
        <f t="shared" si="8"/>
        <v>0</v>
      </c>
      <c r="P31" s="101">
        <f t="shared" si="10"/>
        <v>42755</v>
      </c>
      <c r="Q31" s="77">
        <v>0.09</v>
      </c>
      <c r="R31" s="28" t="s">
        <v>24</v>
      </c>
    </row>
    <row r="32" spans="1:19" s="22" customFormat="1" ht="17.25" customHeight="1">
      <c r="A32" s="18">
        <f t="shared" si="9"/>
        <v>5</v>
      </c>
      <c r="B32" s="23" t="s">
        <v>28</v>
      </c>
      <c r="C32" s="52">
        <v>41984</v>
      </c>
      <c r="D32" s="24">
        <v>46253</v>
      </c>
      <c r="E32" s="54">
        <v>966680000</v>
      </c>
      <c r="F32" s="53"/>
      <c r="G32" s="54"/>
      <c r="H32" s="24">
        <v>42755</v>
      </c>
      <c r="I32" s="54">
        <v>8330000</v>
      </c>
      <c r="J32" s="53"/>
      <c r="K32" s="54">
        <f t="shared" si="5"/>
        <v>958350000</v>
      </c>
      <c r="L32" s="53"/>
      <c r="M32" s="26">
        <f t="shared" si="6"/>
        <v>7491770</v>
      </c>
      <c r="N32" s="25">
        <f t="shared" si="7"/>
        <v>0</v>
      </c>
      <c r="O32" s="25">
        <f t="shared" si="8"/>
        <v>0</v>
      </c>
      <c r="P32" s="101">
        <f t="shared" si="10"/>
        <v>42755</v>
      </c>
      <c r="Q32" s="77">
        <v>0.09</v>
      </c>
      <c r="R32" s="28" t="s">
        <v>24</v>
      </c>
    </row>
    <row r="33" spans="1:18" s="22" customFormat="1" ht="17.25" customHeight="1">
      <c r="A33" s="18">
        <f t="shared" si="9"/>
        <v>6</v>
      </c>
      <c r="B33" s="23" t="s">
        <v>29</v>
      </c>
      <c r="C33" s="52">
        <v>42033</v>
      </c>
      <c r="D33" s="24">
        <v>46253</v>
      </c>
      <c r="E33" s="54">
        <v>1450000000</v>
      </c>
      <c r="F33" s="53"/>
      <c r="G33" s="54"/>
      <c r="H33" s="24">
        <v>42755</v>
      </c>
      <c r="I33" s="54">
        <v>12500000</v>
      </c>
      <c r="J33" s="53"/>
      <c r="K33" s="54">
        <f t="shared" si="5"/>
        <v>1437500000</v>
      </c>
      <c r="L33" s="53"/>
      <c r="M33" s="26">
        <f t="shared" si="6"/>
        <v>11237500</v>
      </c>
      <c r="N33" s="25">
        <f t="shared" si="7"/>
        <v>0</v>
      </c>
      <c r="O33" s="25">
        <f t="shared" si="8"/>
        <v>0</v>
      </c>
      <c r="P33" s="101">
        <f t="shared" si="10"/>
        <v>42755</v>
      </c>
      <c r="Q33" s="77">
        <v>0.09</v>
      </c>
      <c r="R33" s="28" t="s">
        <v>24</v>
      </c>
    </row>
    <row r="34" spans="1:18" s="22" customFormat="1" ht="17.25" customHeight="1">
      <c r="A34" s="18">
        <f t="shared" si="9"/>
        <v>7</v>
      </c>
      <c r="B34" s="23" t="s">
        <v>30</v>
      </c>
      <c r="C34" s="52">
        <v>42088</v>
      </c>
      <c r="D34" s="24">
        <v>46253</v>
      </c>
      <c r="E34" s="54">
        <v>1933320000</v>
      </c>
      <c r="F34" s="53"/>
      <c r="G34" s="54"/>
      <c r="H34" s="24">
        <v>42755</v>
      </c>
      <c r="I34" s="54">
        <v>16670000</v>
      </c>
      <c r="J34" s="53"/>
      <c r="K34" s="54">
        <f t="shared" si="5"/>
        <v>1916650000</v>
      </c>
      <c r="L34" s="53"/>
      <c r="M34" s="26">
        <f t="shared" si="6"/>
        <v>14983230</v>
      </c>
      <c r="N34" s="25">
        <f t="shared" si="7"/>
        <v>0</v>
      </c>
      <c r="O34" s="25">
        <f t="shared" si="8"/>
        <v>0</v>
      </c>
      <c r="P34" s="101">
        <f t="shared" si="10"/>
        <v>42755</v>
      </c>
      <c r="Q34" s="77">
        <v>0.09</v>
      </c>
      <c r="R34" s="28" t="s">
        <v>24</v>
      </c>
    </row>
    <row r="35" spans="1:18" s="22" customFormat="1" ht="17.25" customHeight="1">
      <c r="A35" s="18">
        <f t="shared" si="9"/>
        <v>8</v>
      </c>
      <c r="B35" s="23" t="s">
        <v>31</v>
      </c>
      <c r="C35" s="52">
        <v>42114</v>
      </c>
      <c r="D35" s="24">
        <v>46253</v>
      </c>
      <c r="E35" s="54">
        <v>1353320000</v>
      </c>
      <c r="F35" s="53"/>
      <c r="G35" s="54"/>
      <c r="H35" s="24">
        <v>42755</v>
      </c>
      <c r="I35" s="54">
        <v>11670000</v>
      </c>
      <c r="J35" s="53"/>
      <c r="K35" s="54">
        <f t="shared" si="5"/>
        <v>1341650000</v>
      </c>
      <c r="L35" s="53"/>
      <c r="M35" s="26">
        <f t="shared" si="6"/>
        <v>10488230</v>
      </c>
      <c r="N35" s="25">
        <f t="shared" si="7"/>
        <v>0</v>
      </c>
      <c r="O35" s="25">
        <f t="shared" si="8"/>
        <v>0</v>
      </c>
      <c r="P35" s="101">
        <f t="shared" si="10"/>
        <v>42755</v>
      </c>
      <c r="Q35" s="77">
        <v>0.09</v>
      </c>
      <c r="R35" s="28" t="s">
        <v>24</v>
      </c>
    </row>
    <row r="36" spans="1:18" s="22" customFormat="1" ht="17.25" customHeight="1">
      <c r="A36" s="18">
        <f t="shared" si="9"/>
        <v>9</v>
      </c>
      <c r="B36" s="23" t="s">
        <v>32</v>
      </c>
      <c r="C36" s="52">
        <v>42138</v>
      </c>
      <c r="D36" s="24">
        <v>46253</v>
      </c>
      <c r="E36" s="54">
        <v>1450000000</v>
      </c>
      <c r="F36" s="53"/>
      <c r="G36" s="54"/>
      <c r="H36" s="24">
        <v>42755</v>
      </c>
      <c r="I36" s="54">
        <v>12500000</v>
      </c>
      <c r="J36" s="53"/>
      <c r="K36" s="54">
        <f t="shared" si="5"/>
        <v>1437500000</v>
      </c>
      <c r="L36" s="53"/>
      <c r="M36" s="26">
        <f t="shared" si="6"/>
        <v>11237500</v>
      </c>
      <c r="N36" s="25">
        <f t="shared" si="7"/>
        <v>0</v>
      </c>
      <c r="O36" s="25">
        <f t="shared" si="8"/>
        <v>0</v>
      </c>
      <c r="P36" s="101">
        <f t="shared" si="10"/>
        <v>42755</v>
      </c>
      <c r="Q36" s="77">
        <v>0.09</v>
      </c>
      <c r="R36" s="28" t="s">
        <v>24</v>
      </c>
    </row>
    <row r="37" spans="1:18" s="22" customFormat="1" ht="17.25" customHeight="1">
      <c r="A37" s="18">
        <f t="shared" si="9"/>
        <v>10</v>
      </c>
      <c r="B37" s="23" t="s">
        <v>33</v>
      </c>
      <c r="C37" s="52">
        <v>42164</v>
      </c>
      <c r="D37" s="24">
        <v>46253</v>
      </c>
      <c r="E37" s="54">
        <v>1450000000</v>
      </c>
      <c r="F37" s="53"/>
      <c r="G37" s="54"/>
      <c r="H37" s="24">
        <v>42755</v>
      </c>
      <c r="I37" s="54">
        <v>12500000</v>
      </c>
      <c r="J37" s="53"/>
      <c r="K37" s="54">
        <f t="shared" si="5"/>
        <v>1437500000</v>
      </c>
      <c r="L37" s="53"/>
      <c r="M37" s="26">
        <f t="shared" si="6"/>
        <v>11237500</v>
      </c>
      <c r="N37" s="25">
        <f t="shared" si="7"/>
        <v>0</v>
      </c>
      <c r="O37" s="25">
        <f t="shared" si="8"/>
        <v>0</v>
      </c>
      <c r="P37" s="101">
        <f t="shared" si="10"/>
        <v>42755</v>
      </c>
      <c r="Q37" s="77">
        <v>0.09</v>
      </c>
      <c r="R37" s="28" t="s">
        <v>24</v>
      </c>
    </row>
    <row r="38" spans="1:18" s="22" customFormat="1" ht="17.25" customHeight="1">
      <c r="A38" s="18">
        <f t="shared" si="9"/>
        <v>11</v>
      </c>
      <c r="B38" s="23" t="s">
        <v>34</v>
      </c>
      <c r="C38" s="52">
        <v>42187</v>
      </c>
      <c r="D38" s="24">
        <v>46253</v>
      </c>
      <c r="E38" s="54">
        <v>1450000000</v>
      </c>
      <c r="F38" s="53"/>
      <c r="G38" s="54"/>
      <c r="H38" s="24">
        <v>42755</v>
      </c>
      <c r="I38" s="54">
        <v>12500000</v>
      </c>
      <c r="J38" s="53"/>
      <c r="K38" s="54">
        <f t="shared" si="5"/>
        <v>1437500000</v>
      </c>
      <c r="L38" s="53"/>
      <c r="M38" s="26">
        <f t="shared" si="6"/>
        <v>11237500</v>
      </c>
      <c r="N38" s="25">
        <f t="shared" si="7"/>
        <v>0</v>
      </c>
      <c r="O38" s="25">
        <f t="shared" si="8"/>
        <v>0</v>
      </c>
      <c r="P38" s="101">
        <f t="shared" si="10"/>
        <v>42755</v>
      </c>
      <c r="Q38" s="77">
        <v>0.09</v>
      </c>
      <c r="R38" s="28" t="s">
        <v>24</v>
      </c>
    </row>
    <row r="39" spans="1:18" s="22" customFormat="1" ht="17.25" customHeight="1">
      <c r="A39" s="18">
        <f t="shared" si="9"/>
        <v>12</v>
      </c>
      <c r="B39" s="23" t="s">
        <v>35</v>
      </c>
      <c r="C39" s="52">
        <v>42195</v>
      </c>
      <c r="D39" s="24">
        <v>46253</v>
      </c>
      <c r="E39" s="54">
        <v>1450000000</v>
      </c>
      <c r="F39" s="53"/>
      <c r="G39" s="54"/>
      <c r="H39" s="24">
        <v>42755</v>
      </c>
      <c r="I39" s="54">
        <v>12500000</v>
      </c>
      <c r="J39" s="53"/>
      <c r="K39" s="54">
        <f t="shared" si="5"/>
        <v>1437500000</v>
      </c>
      <c r="L39" s="53"/>
      <c r="M39" s="26">
        <f t="shared" si="6"/>
        <v>11237500</v>
      </c>
      <c r="N39" s="25">
        <f t="shared" si="7"/>
        <v>0</v>
      </c>
      <c r="O39" s="25">
        <f t="shared" si="8"/>
        <v>0</v>
      </c>
      <c r="P39" s="101">
        <f t="shared" si="10"/>
        <v>42755</v>
      </c>
      <c r="Q39" s="77">
        <v>0.09</v>
      </c>
      <c r="R39" s="28" t="s">
        <v>24</v>
      </c>
    </row>
    <row r="40" spans="1:18" s="22" customFormat="1" ht="17.25" customHeight="1">
      <c r="A40" s="18">
        <f t="shared" si="9"/>
        <v>13</v>
      </c>
      <c r="B40" s="23" t="s">
        <v>36</v>
      </c>
      <c r="C40" s="52">
        <v>42215</v>
      </c>
      <c r="D40" s="24">
        <v>46253</v>
      </c>
      <c r="E40" s="54">
        <v>966640000</v>
      </c>
      <c r="F40" s="53"/>
      <c r="G40" s="54"/>
      <c r="H40" s="24">
        <v>42755</v>
      </c>
      <c r="I40" s="54">
        <v>8330000</v>
      </c>
      <c r="J40" s="53"/>
      <c r="K40" s="54">
        <f t="shared" si="5"/>
        <v>958310000</v>
      </c>
      <c r="L40" s="53"/>
      <c r="M40" s="26">
        <f t="shared" si="6"/>
        <v>7491460</v>
      </c>
      <c r="N40" s="25">
        <f t="shared" si="7"/>
        <v>0</v>
      </c>
      <c r="O40" s="25">
        <f t="shared" si="8"/>
        <v>0</v>
      </c>
      <c r="P40" s="101">
        <f t="shared" si="10"/>
        <v>42755</v>
      </c>
      <c r="Q40" s="77">
        <v>0.09</v>
      </c>
      <c r="R40" s="28" t="s">
        <v>24</v>
      </c>
    </row>
    <row r="41" spans="1:18" s="22" customFormat="1" ht="17.25" customHeight="1">
      <c r="A41" s="18">
        <f t="shared" si="9"/>
        <v>14</v>
      </c>
      <c r="B41" s="23" t="s">
        <v>37</v>
      </c>
      <c r="C41" s="52">
        <v>42229</v>
      </c>
      <c r="D41" s="24">
        <v>46253</v>
      </c>
      <c r="E41" s="54">
        <v>966640000</v>
      </c>
      <c r="F41" s="53"/>
      <c r="G41" s="54"/>
      <c r="H41" s="24">
        <v>42755</v>
      </c>
      <c r="I41" s="54">
        <v>8330000</v>
      </c>
      <c r="J41" s="53"/>
      <c r="K41" s="54">
        <f t="shared" si="5"/>
        <v>958310000</v>
      </c>
      <c r="L41" s="53"/>
      <c r="M41" s="26">
        <f t="shared" si="6"/>
        <v>7491460</v>
      </c>
      <c r="N41" s="25">
        <f t="shared" si="7"/>
        <v>0</v>
      </c>
      <c r="O41" s="25">
        <f t="shared" si="8"/>
        <v>0</v>
      </c>
      <c r="P41" s="101">
        <f t="shared" si="10"/>
        <v>42755</v>
      </c>
      <c r="Q41" s="77">
        <v>0.09</v>
      </c>
      <c r="R41" s="28" t="s">
        <v>24</v>
      </c>
    </row>
    <row r="42" spans="1:18" s="22" customFormat="1" ht="17.25" customHeight="1">
      <c r="A42" s="18">
        <f t="shared" si="9"/>
        <v>15</v>
      </c>
      <c r="B42" s="23" t="s">
        <v>58</v>
      </c>
      <c r="C42" s="52">
        <v>42730</v>
      </c>
      <c r="D42" s="52">
        <v>42851</v>
      </c>
      <c r="E42" s="54"/>
      <c r="F42" s="53">
        <v>87000</v>
      </c>
      <c r="G42" s="54"/>
      <c r="H42" s="52">
        <v>42750</v>
      </c>
      <c r="I42" s="54"/>
      <c r="J42" s="53"/>
      <c r="K42" s="54">
        <f t="shared" si="5"/>
        <v>0</v>
      </c>
      <c r="L42" s="53">
        <f>F42</f>
        <v>87000</v>
      </c>
      <c r="M42" s="26"/>
      <c r="N42" s="25">
        <f t="shared" si="7"/>
        <v>181.25</v>
      </c>
      <c r="O42" s="25">
        <f t="shared" si="8"/>
        <v>0</v>
      </c>
      <c r="P42" s="101">
        <f t="shared" si="10"/>
        <v>42750</v>
      </c>
      <c r="Q42" s="77">
        <v>2.5000000000000001E-2</v>
      </c>
      <c r="R42" s="28"/>
    </row>
    <row r="43" spans="1:18" s="22" customFormat="1" ht="17.25" customHeight="1">
      <c r="A43" s="18"/>
      <c r="B43" s="23"/>
      <c r="C43" s="52"/>
      <c r="D43" s="52"/>
      <c r="E43" s="54"/>
      <c r="F43" s="53"/>
      <c r="G43" s="54"/>
      <c r="H43" s="52"/>
      <c r="I43" s="54"/>
      <c r="J43" s="53"/>
      <c r="K43" s="54"/>
      <c r="L43" s="53"/>
      <c r="M43" s="54"/>
      <c r="N43" s="53"/>
      <c r="O43" s="53"/>
      <c r="P43" s="19"/>
      <c r="Q43" s="51"/>
      <c r="R43" s="28"/>
    </row>
    <row r="44" spans="1:18" s="58" customFormat="1" ht="17.25" customHeight="1">
      <c r="A44" s="127" t="s">
        <v>38</v>
      </c>
      <c r="B44" s="127"/>
      <c r="C44" s="55"/>
      <c r="D44" s="55"/>
      <c r="E44" s="30">
        <f>SUM(E28:E43)</f>
        <v>19358200000</v>
      </c>
      <c r="F44" s="31">
        <f>SUM(F28:F43)</f>
        <v>87000</v>
      </c>
      <c r="G44" s="30">
        <f>SUM(G28:G43)</f>
        <v>0</v>
      </c>
      <c r="H44" s="31"/>
      <c r="I44" s="30">
        <f t="shared" ref="I44:O44" si="11">SUM(I28:I43)</f>
        <v>166680000</v>
      </c>
      <c r="J44" s="31">
        <f t="shared" si="11"/>
        <v>0</v>
      </c>
      <c r="K44" s="30">
        <f t="shared" si="11"/>
        <v>19191520000</v>
      </c>
      <c r="L44" s="31">
        <f t="shared" si="11"/>
        <v>87000</v>
      </c>
      <c r="M44" s="30">
        <f t="shared" si="11"/>
        <v>150026050</v>
      </c>
      <c r="N44" s="31">
        <f t="shared" si="11"/>
        <v>181.25</v>
      </c>
      <c r="O44" s="31">
        <f t="shared" si="11"/>
        <v>0</v>
      </c>
      <c r="P44" s="31"/>
      <c r="Q44" s="33"/>
      <c r="R44" s="33"/>
    </row>
    <row r="45" spans="1:18" ht="17.25" customHeight="1">
      <c r="F45" s="68"/>
    </row>
    <row r="46" spans="1:18" ht="17.25" customHeight="1">
      <c r="F46" s="68"/>
    </row>
    <row r="47" spans="1:18" ht="17.25" customHeight="1">
      <c r="F47" s="65"/>
    </row>
    <row r="48" spans="1:18" ht="17.25" customHeight="1">
      <c r="F48" s="65"/>
    </row>
    <row r="50" spans="6:14" ht="17.25" customHeight="1">
      <c r="F50" s="68"/>
    </row>
    <row r="58" spans="6:14" ht="17.25" customHeight="1">
      <c r="M58" s="71"/>
      <c r="N58" s="71"/>
    </row>
  </sheetData>
  <autoFilter ref="A3:R27"/>
  <sortState ref="A10:T25">
    <sortCondition ref="C10:C25"/>
  </sortState>
  <mergeCells count="12">
    <mergeCell ref="M2:P2"/>
    <mergeCell ref="Q2:Q3"/>
    <mergeCell ref="R2:R3"/>
    <mergeCell ref="A9:B9"/>
    <mergeCell ref="A27:B27"/>
    <mergeCell ref="H2:J2"/>
    <mergeCell ref="K2:L2"/>
    <mergeCell ref="A44:B44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6" t="s">
        <v>6</v>
      </c>
      <c r="I2" s="136"/>
      <c r="J2" s="136"/>
      <c r="K2" s="131" t="s">
        <v>7</v>
      </c>
      <c r="L2" s="131"/>
      <c r="M2" s="134" t="s">
        <v>8</v>
      </c>
      <c r="N2" s="134"/>
      <c r="O2" s="134"/>
      <c r="P2" s="134"/>
      <c r="Q2" s="134"/>
      <c r="R2" s="135" t="s">
        <v>9</v>
      </c>
      <c r="S2" s="128" t="s">
        <v>10</v>
      </c>
    </row>
    <row r="3" spans="1:20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85" t="s">
        <v>13</v>
      </c>
      <c r="J3" s="85" t="s">
        <v>15</v>
      </c>
      <c r="K3" s="86" t="s">
        <v>13</v>
      </c>
      <c r="L3" s="15" t="s">
        <v>15</v>
      </c>
      <c r="M3" s="83" t="s">
        <v>16</v>
      </c>
      <c r="N3" s="83" t="s">
        <v>17</v>
      </c>
      <c r="O3" s="17" t="s">
        <v>18</v>
      </c>
      <c r="P3" s="84" t="s">
        <v>48</v>
      </c>
      <c r="Q3" s="84" t="s">
        <v>19</v>
      </c>
      <c r="R3" s="135"/>
      <c r="S3" s="128"/>
    </row>
    <row r="4" spans="1:20" s="37" customFormat="1" ht="17.25" customHeight="1">
      <c r="A4" s="35">
        <f>ROW()-3</f>
        <v>1</v>
      </c>
      <c r="B4" s="38" t="s">
        <v>75</v>
      </c>
      <c r="C4" s="39">
        <v>42742</v>
      </c>
      <c r="D4" s="39">
        <v>42923</v>
      </c>
      <c r="E4" s="27"/>
      <c r="F4" s="27">
        <v>43000</v>
      </c>
      <c r="G4" s="40"/>
      <c r="H4" s="39"/>
      <c r="I4" s="27"/>
      <c r="J4" s="27"/>
      <c r="K4" s="21"/>
      <c r="L4" s="21">
        <f>F4-J4</f>
        <v>43000</v>
      </c>
      <c r="M4" s="27"/>
      <c r="N4" s="27"/>
      <c r="O4" s="27">
        <f>IF((LEFT(B4,4)="1402"),F4*R4*DATEDIF(DATE(YEAR(Q4),MONTH(Q4)-1,IF(MONTH(C4)=(MONTH(Q4)-1),DAY(C4),16)),Q4,"d")/360,0)</f>
        <v>92.569444444444443</v>
      </c>
      <c r="P4" s="27">
        <f>IF((LEFT(B4,4)="1025"),F4*R4*DATEDIF(DATE(YEAR(Q4),MONTH(Q4)-1,IF(MONTH(C4)=(MONTH($O$1)-1),DAY(C4),16)),Q4,"d")/360,0)</f>
        <v>0</v>
      </c>
      <c r="Q4" s="19">
        <v>42690</v>
      </c>
      <c r="R4" s="78">
        <v>2.5000000000000001E-2</v>
      </c>
      <c r="S4" s="42" t="s">
        <v>20</v>
      </c>
      <c r="T4" s="22"/>
    </row>
    <row r="5" spans="1:20" s="37" customFormat="1" ht="17.25" customHeight="1">
      <c r="A5" s="35">
        <f t="shared" ref="A5:A7" si="0">ROW()-3</f>
        <v>2</v>
      </c>
      <c r="B5" s="38" t="s">
        <v>44</v>
      </c>
      <c r="C5" s="39">
        <v>42586</v>
      </c>
      <c r="D5" s="39">
        <v>42770</v>
      </c>
      <c r="E5" s="27"/>
      <c r="F5" s="27">
        <v>52300</v>
      </c>
      <c r="G5" s="40"/>
      <c r="H5" s="39"/>
      <c r="I5" s="27"/>
      <c r="J5" s="27"/>
      <c r="K5" s="21"/>
      <c r="L5" s="21">
        <f>F5-J5</f>
        <v>52300</v>
      </c>
      <c r="M5" s="27"/>
      <c r="N5" s="27"/>
      <c r="O5" s="27">
        <f t="shared" ref="O5:O7" si="1">IF((LEFT(B5,4)="1402"),F5*R5*DATEDIF(DATE(YEAR(Q5),MONTH(Q5)-1,IF(MONTH(C5)=(MONTH(Q5)-1),DAY(C5),16)),Q5,"d")/360,0)</f>
        <v>112.59027777777777</v>
      </c>
      <c r="P5" s="27">
        <f t="shared" ref="P5:P7" si="2">IF((LEFT(B5,4)="1025"),F5*R5*DATEDIF(DATE(YEAR(Q5),MONTH(Q5)-1,IF(MONTH(C5)=(MONTH($O$1)-1),DAY(C5),16)),Q5,"d")/360,0)</f>
        <v>0</v>
      </c>
      <c r="Q5" s="19">
        <v>42690</v>
      </c>
      <c r="R5" s="78">
        <v>2.5000000000000001E-2</v>
      </c>
      <c r="S5" s="42" t="s">
        <v>21</v>
      </c>
      <c r="T5" s="22"/>
    </row>
    <row r="6" spans="1:20" s="22" customFormat="1" ht="17.25" customHeight="1">
      <c r="A6" s="35">
        <f t="shared" si="0"/>
        <v>3</v>
      </c>
      <c r="B6" s="38" t="s">
        <v>57</v>
      </c>
      <c r="C6" s="39">
        <v>42718</v>
      </c>
      <c r="D6" s="39">
        <v>42900</v>
      </c>
      <c r="E6" s="27"/>
      <c r="F6" s="27">
        <v>93000</v>
      </c>
      <c r="G6" s="40"/>
      <c r="H6" s="39"/>
      <c r="I6" s="27"/>
      <c r="J6" s="27"/>
      <c r="K6" s="21"/>
      <c r="L6" s="21">
        <f>F6-J6</f>
        <v>93000</v>
      </c>
      <c r="M6" s="27"/>
      <c r="N6" s="27"/>
      <c r="O6" s="27">
        <f t="shared" si="1"/>
        <v>200.20833333333334</v>
      </c>
      <c r="P6" s="27">
        <f t="shared" si="2"/>
        <v>0</v>
      </c>
      <c r="Q6" s="19">
        <v>42690</v>
      </c>
      <c r="R6" s="78">
        <v>2.5000000000000001E-2</v>
      </c>
      <c r="S6" s="42" t="s">
        <v>20</v>
      </c>
    </row>
    <row r="7" spans="1:20" s="22" customFormat="1" ht="17.25" customHeight="1">
      <c r="A7" s="35">
        <f t="shared" si="0"/>
        <v>4</v>
      </c>
      <c r="B7" s="36" t="s">
        <v>56</v>
      </c>
      <c r="C7" s="39">
        <v>42710</v>
      </c>
      <c r="D7" s="39">
        <v>42892</v>
      </c>
      <c r="E7" s="27"/>
      <c r="F7" s="27">
        <v>70500</v>
      </c>
      <c r="G7" s="40"/>
      <c r="H7" s="39"/>
      <c r="I7" s="27"/>
      <c r="J7" s="27"/>
      <c r="K7" s="21"/>
      <c r="L7" s="21">
        <f>F7-J7</f>
        <v>70500</v>
      </c>
      <c r="M7" s="27"/>
      <c r="N7" s="27"/>
      <c r="O7" s="27">
        <f t="shared" si="1"/>
        <v>151.77083333333334</v>
      </c>
      <c r="P7" s="27">
        <f t="shared" si="2"/>
        <v>0</v>
      </c>
      <c r="Q7" s="19">
        <v>42690</v>
      </c>
      <c r="R7" s="78">
        <v>2.5000000000000001E-2</v>
      </c>
      <c r="S7" s="42" t="s">
        <v>20</v>
      </c>
    </row>
    <row r="8" spans="1:20" s="22" customFormat="1" ht="17.25" customHeight="1">
      <c r="A8" s="43"/>
      <c r="B8" s="44"/>
      <c r="C8" s="45"/>
      <c r="D8" s="45"/>
      <c r="E8" s="46"/>
      <c r="F8" s="46"/>
      <c r="G8" s="47"/>
      <c r="H8" s="45"/>
      <c r="I8" s="46"/>
      <c r="J8" s="46"/>
      <c r="K8" s="46"/>
      <c r="L8" s="46"/>
      <c r="M8" s="46"/>
      <c r="N8" s="46"/>
      <c r="O8" s="46"/>
      <c r="P8" s="46"/>
      <c r="Q8" s="48"/>
      <c r="R8" s="49"/>
      <c r="S8" s="50"/>
    </row>
    <row r="9" spans="1:20" s="34" customFormat="1" ht="17.25" customHeight="1">
      <c r="A9" s="133" t="s">
        <v>22</v>
      </c>
      <c r="B9" s="133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0">
        <f>SUM(N4:N6)</f>
        <v>0</v>
      </c>
      <c r="O9" s="31">
        <f>SUM(O4:O8)</f>
        <v>557.13888888888891</v>
      </c>
      <c r="P9" s="31">
        <f>SUM(P4:P8)</f>
        <v>0</v>
      </c>
      <c r="Q9" s="29"/>
      <c r="R9" s="32"/>
      <c r="S9" s="33"/>
      <c r="T9" s="22"/>
    </row>
    <row r="10" spans="1:20" s="22" customFormat="1" ht="17.25" customHeight="1">
      <c r="A10" s="35">
        <f t="shared" ref="A10:A20" si="3">ROW()-9</f>
        <v>1</v>
      </c>
      <c r="B10" s="23" t="s">
        <v>41</v>
      </c>
      <c r="C10" s="24">
        <v>42689</v>
      </c>
      <c r="D10" s="24">
        <v>42870</v>
      </c>
      <c r="E10" s="26"/>
      <c r="F10" s="25">
        <v>89000</v>
      </c>
      <c r="G10" s="26"/>
      <c r="H10" s="24"/>
      <c r="I10" s="25"/>
      <c r="J10" s="25"/>
      <c r="K10" s="21"/>
      <c r="L10" s="20">
        <f t="shared" ref="L10:L20" si="4">F10-J10</f>
        <v>89000</v>
      </c>
      <c r="M10" s="25"/>
      <c r="N10" s="25"/>
      <c r="O10" s="27">
        <f t="shared" ref="O10:O19" si="5">IF((LEFT(B10,4)="1402"),F10*R10*DATEDIF(DATE(YEAR(Q10),MONTH(Q10)-1,IF(MONTH(C10)=(MONTH(Q10)-1),DAY(C10),16)),Q10,"d")/360,0)</f>
        <v>0</v>
      </c>
      <c r="P10" s="27">
        <f>IF((LEFT(B10,4)="1025"),F10*R10*DATEDIF(DATE(YEAR(Q10),MONTH(Q10)-1,DAY(Q10)),Q10,"d")/360,0)</f>
        <v>229.91666666666666</v>
      </c>
      <c r="Q10" s="19">
        <v>42696</v>
      </c>
      <c r="R10" s="77">
        <v>0.03</v>
      </c>
      <c r="S10" s="42" t="s">
        <v>52</v>
      </c>
      <c r="T10" s="80"/>
    </row>
    <row r="11" spans="1:20" s="22" customFormat="1" ht="17.25" customHeight="1">
      <c r="A11" s="35">
        <f t="shared" si="3"/>
        <v>2</v>
      </c>
      <c r="B11" s="23" t="s">
        <v>40</v>
      </c>
      <c r="C11" s="24">
        <v>42684</v>
      </c>
      <c r="D11" s="24">
        <v>42865</v>
      </c>
      <c r="E11" s="26"/>
      <c r="F11" s="25">
        <v>82000</v>
      </c>
      <c r="G11" s="26"/>
      <c r="H11" s="24"/>
      <c r="I11" s="25"/>
      <c r="J11" s="25"/>
      <c r="K11" s="21"/>
      <c r="L11" s="20">
        <f t="shared" si="4"/>
        <v>82000</v>
      </c>
      <c r="M11" s="25"/>
      <c r="N11" s="25"/>
      <c r="O11" s="27">
        <f t="shared" si="5"/>
        <v>0</v>
      </c>
      <c r="P11" s="27">
        <f t="shared" ref="P11:P19" si="6">IF((LEFT(B11,4)="1025"),F11*R11*DATEDIF(DATE(YEAR(Q11),MONTH(Q11)-1,DAY(Q11)),Q11,"d")/360,0)</f>
        <v>211.83333333333334</v>
      </c>
      <c r="Q11" s="19">
        <v>42696</v>
      </c>
      <c r="R11" s="77">
        <v>0.03</v>
      </c>
      <c r="S11" s="42" t="s">
        <v>52</v>
      </c>
    </row>
    <row r="12" spans="1:20" s="22" customFormat="1" ht="17.25" customHeight="1">
      <c r="A12" s="35">
        <f t="shared" si="3"/>
        <v>3</v>
      </c>
      <c r="B12" s="23" t="s">
        <v>51</v>
      </c>
      <c r="C12" s="24">
        <v>42660</v>
      </c>
      <c r="D12" s="24">
        <v>42842</v>
      </c>
      <c r="E12" s="26"/>
      <c r="F12" s="25">
        <v>96000</v>
      </c>
      <c r="G12" s="26"/>
      <c r="H12" s="24"/>
      <c r="I12" s="25"/>
      <c r="J12" s="25"/>
      <c r="K12" s="21"/>
      <c r="L12" s="20">
        <f t="shared" si="4"/>
        <v>96000</v>
      </c>
      <c r="M12" s="25"/>
      <c r="N12" s="25"/>
      <c r="O12" s="27">
        <f t="shared" si="5"/>
        <v>0</v>
      </c>
      <c r="P12" s="27">
        <f>IF((LEFT(B12,4)="1025"),F12*R12*DATEDIF(DATE(YEAR(Q12),MONTH(Q12)-1,DAY(Q12)),Q12,"d")/360,0)</f>
        <v>248</v>
      </c>
      <c r="Q12" s="19">
        <v>42696</v>
      </c>
      <c r="R12" s="77">
        <v>0.03</v>
      </c>
      <c r="S12" s="42" t="s">
        <v>53</v>
      </c>
    </row>
    <row r="13" spans="1:20" s="22" customFormat="1" ht="17.25" customHeight="1">
      <c r="A13" s="35">
        <f t="shared" si="3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1"/>
      <c r="L13" s="20">
        <f t="shared" si="4"/>
        <v>96000</v>
      </c>
      <c r="M13" s="25"/>
      <c r="N13" s="25"/>
      <c r="O13" s="27">
        <f t="shared" si="5"/>
        <v>0</v>
      </c>
      <c r="P13" s="27">
        <f t="shared" si="6"/>
        <v>248</v>
      </c>
      <c r="Q13" s="19">
        <v>42696</v>
      </c>
      <c r="R13" s="77">
        <v>0.03</v>
      </c>
      <c r="S13" s="42" t="s">
        <v>53</v>
      </c>
      <c r="T13" s="81"/>
    </row>
    <row r="14" spans="1:20" s="37" customFormat="1" ht="17.25" customHeight="1">
      <c r="A14" s="35">
        <f t="shared" si="3"/>
        <v>5</v>
      </c>
      <c r="B14" s="23" t="s">
        <v>55</v>
      </c>
      <c r="C14" s="24">
        <v>42718</v>
      </c>
      <c r="D14" s="24">
        <v>42900</v>
      </c>
      <c r="E14" s="26"/>
      <c r="F14" s="25">
        <v>137000</v>
      </c>
      <c r="G14" s="26"/>
      <c r="H14" s="24"/>
      <c r="I14" s="25"/>
      <c r="J14" s="25"/>
      <c r="K14" s="20"/>
      <c r="L14" s="20">
        <f t="shared" si="4"/>
        <v>137000</v>
      </c>
      <c r="M14" s="25"/>
      <c r="N14" s="25"/>
      <c r="O14" s="27">
        <f t="shared" si="5"/>
        <v>0</v>
      </c>
      <c r="P14" s="27">
        <f t="shared" si="6"/>
        <v>353.91666666666669</v>
      </c>
      <c r="Q14" s="19">
        <v>42696</v>
      </c>
      <c r="R14" s="77">
        <v>0.03</v>
      </c>
      <c r="S14" s="28" t="s">
        <v>54</v>
      </c>
      <c r="T14" s="82">
        <f>E13*R13/12</f>
        <v>0</v>
      </c>
    </row>
    <row r="15" spans="1:20" s="22" customFormat="1" ht="17.25" customHeight="1">
      <c r="A15" s="35">
        <f t="shared" si="3"/>
        <v>6</v>
      </c>
      <c r="B15" s="23" t="s">
        <v>65</v>
      </c>
      <c r="C15" s="24">
        <v>42733</v>
      </c>
      <c r="D15" s="24">
        <v>42915</v>
      </c>
      <c r="E15" s="26"/>
      <c r="F15" s="25">
        <v>85000</v>
      </c>
      <c r="G15" s="26"/>
      <c r="H15" s="24"/>
      <c r="I15" s="25"/>
      <c r="J15" s="25"/>
      <c r="K15" s="20"/>
      <c r="L15" s="20">
        <f t="shared" si="4"/>
        <v>85000</v>
      </c>
      <c r="M15" s="25"/>
      <c r="N15" s="25"/>
      <c r="O15" s="27">
        <f t="shared" si="5"/>
        <v>0</v>
      </c>
      <c r="P15" s="27">
        <f t="shared" si="6"/>
        <v>219.58333333333334</v>
      </c>
      <c r="Q15" s="19">
        <v>42696</v>
      </c>
      <c r="R15" s="77">
        <v>0.03</v>
      </c>
      <c r="S15" s="28" t="s">
        <v>54</v>
      </c>
      <c r="T15" s="81"/>
    </row>
    <row r="16" spans="1:20" s="22" customFormat="1" ht="17.25" customHeight="1">
      <c r="A16" s="35">
        <f t="shared" si="3"/>
        <v>7</v>
      </c>
      <c r="B16" s="23" t="s">
        <v>74</v>
      </c>
      <c r="C16" s="24">
        <v>42741</v>
      </c>
      <c r="D16" s="24">
        <v>42922</v>
      </c>
      <c r="E16" s="26"/>
      <c r="F16" s="25">
        <v>93000</v>
      </c>
      <c r="G16" s="26"/>
      <c r="H16" s="24"/>
      <c r="I16" s="25"/>
      <c r="J16" s="25"/>
      <c r="K16" s="20"/>
      <c r="L16" s="20">
        <f t="shared" si="4"/>
        <v>93000</v>
      </c>
      <c r="M16" s="25"/>
      <c r="N16" s="25"/>
      <c r="O16" s="27">
        <f t="shared" si="5"/>
        <v>0</v>
      </c>
      <c r="P16" s="27">
        <f t="shared" si="6"/>
        <v>240.25</v>
      </c>
      <c r="Q16" s="19">
        <v>42696</v>
      </c>
      <c r="R16" s="77">
        <v>0.03</v>
      </c>
      <c r="S16" s="42" t="s">
        <v>52</v>
      </c>
      <c r="T16" s="81"/>
    </row>
    <row r="17" spans="1:20" s="22" customFormat="1" ht="17.25" customHeight="1">
      <c r="A17" s="35">
        <f t="shared" si="3"/>
        <v>8</v>
      </c>
      <c r="B17" s="23" t="s">
        <v>43</v>
      </c>
      <c r="C17" s="52">
        <v>42600</v>
      </c>
      <c r="D17" s="24">
        <v>42784</v>
      </c>
      <c r="E17" s="26"/>
      <c r="F17" s="53">
        <v>63000</v>
      </c>
      <c r="G17" s="26"/>
      <c r="H17" s="52"/>
      <c r="I17" s="53"/>
      <c r="J17" s="53"/>
      <c r="K17" s="20"/>
      <c r="L17" s="20">
        <f t="shared" si="4"/>
        <v>63000</v>
      </c>
      <c r="M17" s="53"/>
      <c r="N17" s="53"/>
      <c r="O17" s="27">
        <f t="shared" si="5"/>
        <v>0</v>
      </c>
      <c r="P17" s="27">
        <f t="shared" si="6"/>
        <v>162.75</v>
      </c>
      <c r="Q17" s="19">
        <v>42696</v>
      </c>
      <c r="R17" s="77">
        <v>0.03</v>
      </c>
      <c r="S17" s="42" t="s">
        <v>52</v>
      </c>
      <c r="T17" s="81"/>
    </row>
    <row r="18" spans="1:20" s="22" customFormat="1" ht="17.25" customHeight="1">
      <c r="A18" s="35">
        <f t="shared" si="3"/>
        <v>9</v>
      </c>
      <c r="B18" s="23" t="s">
        <v>47</v>
      </c>
      <c r="C18" s="52">
        <v>42612</v>
      </c>
      <c r="D18" s="24">
        <v>42794</v>
      </c>
      <c r="E18" s="54"/>
      <c r="F18" s="53">
        <v>89500</v>
      </c>
      <c r="G18" s="26"/>
      <c r="H18" s="52"/>
      <c r="I18" s="53"/>
      <c r="J18" s="53"/>
      <c r="K18" s="20"/>
      <c r="L18" s="20">
        <f t="shared" si="4"/>
        <v>89500</v>
      </c>
      <c r="M18" s="53"/>
      <c r="N18" s="53"/>
      <c r="O18" s="27">
        <f t="shared" si="5"/>
        <v>0</v>
      </c>
      <c r="P18" s="27">
        <f t="shared" si="6"/>
        <v>231.20833333333334</v>
      </c>
      <c r="Q18" s="19">
        <v>42696</v>
      </c>
      <c r="R18" s="77">
        <v>0.03</v>
      </c>
      <c r="S18" s="42" t="s">
        <v>52</v>
      </c>
      <c r="T18" s="81"/>
    </row>
    <row r="19" spans="1:20" s="22" customFormat="1" ht="17.25" customHeight="1">
      <c r="A19" s="35">
        <f t="shared" si="3"/>
        <v>10</v>
      </c>
      <c r="B19" s="23" t="s">
        <v>49</v>
      </c>
      <c r="C19" s="52">
        <v>42626</v>
      </c>
      <c r="D19" s="24">
        <v>42807</v>
      </c>
      <c r="E19" s="54"/>
      <c r="F19" s="53">
        <v>88000</v>
      </c>
      <c r="G19" s="26"/>
      <c r="H19" s="52"/>
      <c r="I19" s="53"/>
      <c r="J19" s="53"/>
      <c r="K19" s="21"/>
      <c r="L19" s="20">
        <f t="shared" si="4"/>
        <v>88000</v>
      </c>
      <c r="M19" s="53"/>
      <c r="N19" s="54">
        <f>P19*G19</f>
        <v>0</v>
      </c>
      <c r="O19" s="27">
        <f t="shared" si="5"/>
        <v>0</v>
      </c>
      <c r="P19" s="27">
        <f t="shared" si="6"/>
        <v>227.33333333333334</v>
      </c>
      <c r="Q19" s="19">
        <v>42696</v>
      </c>
      <c r="R19" s="77">
        <v>0.03</v>
      </c>
      <c r="S19" s="42" t="s">
        <v>52</v>
      </c>
    </row>
    <row r="20" spans="1:20" s="22" customFormat="1" ht="17.25" customHeight="1">
      <c r="A20" s="35">
        <f t="shared" si="3"/>
        <v>11</v>
      </c>
      <c r="B20" s="23"/>
      <c r="C20" s="52">
        <v>42754</v>
      </c>
      <c r="D20" s="24"/>
      <c r="E20" s="54"/>
      <c r="F20" s="53">
        <v>51100</v>
      </c>
      <c r="G20" s="54"/>
      <c r="H20" s="52"/>
      <c r="I20" s="53"/>
      <c r="J20" s="53"/>
      <c r="K20" s="21"/>
      <c r="L20" s="20">
        <f t="shared" si="4"/>
        <v>51100</v>
      </c>
      <c r="M20" s="53"/>
      <c r="N20" s="54"/>
      <c r="O20" s="27"/>
      <c r="P20" s="27"/>
      <c r="Q20" s="19"/>
      <c r="R20" s="77"/>
      <c r="S20" s="42"/>
    </row>
    <row r="21" spans="1:20" s="22" customFormat="1" ht="17.25" customHeight="1">
      <c r="A21" s="35"/>
      <c r="B21" s="23"/>
      <c r="C21" s="52"/>
      <c r="D21" s="24"/>
      <c r="E21" s="53"/>
      <c r="F21" s="53"/>
      <c r="G21" s="54"/>
      <c r="H21" s="52"/>
      <c r="I21" s="53"/>
      <c r="J21" s="53"/>
      <c r="K21" s="20"/>
      <c r="L21" s="20"/>
      <c r="M21" s="53"/>
      <c r="N21" s="53"/>
      <c r="O21" s="25"/>
      <c r="P21" s="25"/>
      <c r="Q21" s="19"/>
      <c r="R21" s="77"/>
      <c r="S21" s="42"/>
    </row>
    <row r="22" spans="1:20" s="58" customFormat="1" ht="17.25" customHeight="1">
      <c r="A22" s="127" t="s">
        <v>46</v>
      </c>
      <c r="B22" s="127"/>
      <c r="C22" s="55"/>
      <c r="D22" s="55"/>
      <c r="E22" s="30">
        <f>SUM(E4:E21)</f>
        <v>0</v>
      </c>
      <c r="F22" s="31">
        <f>SUM(F10:F21)</f>
        <v>969600</v>
      </c>
      <c r="G22" s="30">
        <f>SUM(G4:G16)</f>
        <v>0</v>
      </c>
      <c r="H22" s="29"/>
      <c r="I22" s="31">
        <f>SUM(I10:I21)</f>
        <v>0</v>
      </c>
      <c r="J22" s="31">
        <f>SUM(J10:J21)</f>
        <v>0</v>
      </c>
      <c r="K22" s="31">
        <f>SUM(K10:K21)</f>
        <v>0</v>
      </c>
      <c r="L22" s="31">
        <f>SUM(L10:L21)</f>
        <v>969600</v>
      </c>
      <c r="M22" s="31">
        <f>SUM(M4:M14)</f>
        <v>0</v>
      </c>
      <c r="N22" s="31"/>
      <c r="O22" s="31">
        <f>SUM(O10:O21)</f>
        <v>0</v>
      </c>
      <c r="P22" s="31">
        <f>SUM(P10:P21)</f>
        <v>2372.791666666667</v>
      </c>
      <c r="Q22" s="56"/>
      <c r="R22" s="57"/>
      <c r="S22" s="33"/>
    </row>
    <row r="23" spans="1:20" s="37" customFormat="1" ht="17.25" customHeight="1">
      <c r="A23" s="35">
        <f>ROW()-22</f>
        <v>1</v>
      </c>
      <c r="B23" s="38" t="s">
        <v>23</v>
      </c>
      <c r="C23" s="39">
        <v>41870</v>
      </c>
      <c r="D23" s="39">
        <v>46253</v>
      </c>
      <c r="E23" s="40">
        <f>'01-17'!K28</f>
        <v>958300000</v>
      </c>
      <c r="F23" s="27"/>
      <c r="G23" s="40"/>
      <c r="H23" s="39">
        <v>42785</v>
      </c>
      <c r="I23" s="40">
        <v>8340000</v>
      </c>
      <c r="J23" s="27"/>
      <c r="K23" s="40">
        <f t="shared" ref="K23:K37" si="7">E23-I23</f>
        <v>949960000</v>
      </c>
      <c r="L23" s="27"/>
      <c r="M23" s="40">
        <f>IF((LEFT(B23,4)="1402"),E23*R23*DATEDIF(DATE(YEAR(Q23),MONTH(Q23)-1,IF(MONTH(C23)=(MONTH(Q23)-1),DAY(C23),16)),Q23,"d")/360,0)</f>
        <v>8145550</v>
      </c>
      <c r="N23" s="27"/>
      <c r="O23" s="27">
        <f>IF((LEFT(B23,4)="1402"),F23*R23*DATEDIF(DATE(YEAR(Q23),MONTH(Q23)-1,IF(MONTH(C23)=(MONTH(Q23)-1),DAY(C23),16)),Q23,"d")/360,0)</f>
        <v>0</v>
      </c>
      <c r="P23" s="27">
        <f t="shared" ref="P23:P37" si="8">IF((LEFT(B23,4)="1015"),F23*R23*DATEDIF(Q23,Q$1,"d")/360,0)</f>
        <v>0</v>
      </c>
      <c r="Q23" s="79">
        <v>42785</v>
      </c>
      <c r="R23" s="78">
        <v>0.09</v>
      </c>
      <c r="S23" s="60" t="s">
        <v>24</v>
      </c>
    </row>
    <row r="24" spans="1:20" s="37" customFormat="1" ht="17.25" customHeight="1">
      <c r="A24" s="35">
        <f t="shared" ref="A24:A37" si="9">ROW()-22</f>
        <v>2</v>
      </c>
      <c r="B24" s="38" t="s">
        <v>25</v>
      </c>
      <c r="C24" s="39">
        <v>41905</v>
      </c>
      <c r="D24" s="39">
        <v>46253</v>
      </c>
      <c r="E24" s="40">
        <f>'01-17'!K29</f>
        <v>1916650000</v>
      </c>
      <c r="F24" s="27"/>
      <c r="G24" s="40"/>
      <c r="H24" s="39">
        <v>42785</v>
      </c>
      <c r="I24" s="40">
        <v>16670000</v>
      </c>
      <c r="J24" s="27"/>
      <c r="K24" s="40">
        <f t="shared" si="7"/>
        <v>1899980000</v>
      </c>
      <c r="L24" s="27"/>
      <c r="M24" s="40">
        <f t="shared" ref="M24:M36" si="10">IF((LEFT(B24,4)="1402"),E24*R24*DATEDIF(DATE(YEAR(Q24),MONTH(Q24)-1,IF(MONTH(C24)=(MONTH(Q24)-1),DAY(C24),16)),Q24,"d")/360,0)</f>
        <v>16291525</v>
      </c>
      <c r="N24" s="27"/>
      <c r="O24" s="27">
        <f t="shared" ref="O24:O37" si="11">IF((LEFT(B24,4)="1402"),F24*R24*DATEDIF(DATE(YEAR(Q24),MONTH(Q24)-1,IF(MONTH(C24)=(MONTH(Q24)-1),DAY(C24),16)),Q24,"d")/360,0)</f>
        <v>0</v>
      </c>
      <c r="P24" s="27">
        <f t="shared" si="8"/>
        <v>0</v>
      </c>
      <c r="Q24" s="79">
        <v>42785</v>
      </c>
      <c r="R24" s="78">
        <v>0.09</v>
      </c>
      <c r="S24" s="42" t="s">
        <v>24</v>
      </c>
    </row>
    <row r="25" spans="1:20" s="37" customFormat="1" ht="17.25" customHeight="1">
      <c r="A25" s="35">
        <f t="shared" si="9"/>
        <v>3</v>
      </c>
      <c r="B25" s="38" t="s">
        <v>26</v>
      </c>
      <c r="C25" s="61">
        <v>41934</v>
      </c>
      <c r="D25" s="39">
        <v>46253</v>
      </c>
      <c r="E25" s="40">
        <f>'01-17'!K30</f>
        <v>1533300000</v>
      </c>
      <c r="F25" s="63"/>
      <c r="G25" s="62"/>
      <c r="H25" s="39">
        <v>42785</v>
      </c>
      <c r="I25" s="62">
        <v>13340000</v>
      </c>
      <c r="J25" s="63"/>
      <c r="K25" s="40">
        <f t="shared" si="7"/>
        <v>1519960000</v>
      </c>
      <c r="L25" s="63"/>
      <c r="M25" s="40">
        <f t="shared" si="10"/>
        <v>13033050</v>
      </c>
      <c r="N25" s="63"/>
      <c r="O25" s="27">
        <f t="shared" si="11"/>
        <v>0</v>
      </c>
      <c r="P25" s="27">
        <f t="shared" si="8"/>
        <v>0</v>
      </c>
      <c r="Q25" s="79">
        <v>42785</v>
      </c>
      <c r="R25" s="78">
        <v>0.09</v>
      </c>
      <c r="S25" s="42" t="s">
        <v>24</v>
      </c>
    </row>
    <row r="26" spans="1:20" s="37" customFormat="1" ht="17.25" customHeight="1">
      <c r="A26" s="35">
        <f t="shared" si="9"/>
        <v>4</v>
      </c>
      <c r="B26" s="38" t="s">
        <v>27</v>
      </c>
      <c r="C26" s="61">
        <v>41963</v>
      </c>
      <c r="D26" s="39">
        <v>46253</v>
      </c>
      <c r="E26" s="40">
        <f>'01-17'!K31</f>
        <v>1462500000</v>
      </c>
      <c r="F26" s="63"/>
      <c r="G26" s="62"/>
      <c r="H26" s="39">
        <v>42785</v>
      </c>
      <c r="I26" s="62">
        <v>12500000</v>
      </c>
      <c r="J26" s="63"/>
      <c r="K26" s="40">
        <f t="shared" si="7"/>
        <v>1450000000</v>
      </c>
      <c r="L26" s="63"/>
      <c r="M26" s="40">
        <f t="shared" si="10"/>
        <v>12431250</v>
      </c>
      <c r="N26" s="63"/>
      <c r="O26" s="27">
        <f t="shared" si="11"/>
        <v>0</v>
      </c>
      <c r="P26" s="27">
        <f t="shared" si="8"/>
        <v>0</v>
      </c>
      <c r="Q26" s="79">
        <v>42785</v>
      </c>
      <c r="R26" s="78">
        <v>0.09</v>
      </c>
      <c r="S26" s="42" t="s">
        <v>24</v>
      </c>
    </row>
    <row r="27" spans="1:20" s="37" customFormat="1" ht="17.25" customHeight="1">
      <c r="A27" s="35">
        <f t="shared" si="9"/>
        <v>5</v>
      </c>
      <c r="B27" s="38" t="s">
        <v>28</v>
      </c>
      <c r="C27" s="61">
        <v>41984</v>
      </c>
      <c r="D27" s="39">
        <v>46253</v>
      </c>
      <c r="E27" s="40">
        <f>'01-17'!K32</f>
        <v>958350000</v>
      </c>
      <c r="F27" s="63"/>
      <c r="G27" s="62"/>
      <c r="H27" s="39">
        <v>42785</v>
      </c>
      <c r="I27" s="62">
        <v>8330000</v>
      </c>
      <c r="J27" s="63"/>
      <c r="K27" s="62">
        <f t="shared" si="7"/>
        <v>950020000</v>
      </c>
      <c r="L27" s="63"/>
      <c r="M27" s="40">
        <f t="shared" si="10"/>
        <v>8145975</v>
      </c>
      <c r="N27" s="63"/>
      <c r="O27" s="27">
        <f t="shared" si="11"/>
        <v>0</v>
      </c>
      <c r="P27" s="27">
        <f t="shared" si="8"/>
        <v>0</v>
      </c>
      <c r="Q27" s="79">
        <v>42785</v>
      </c>
      <c r="R27" s="78">
        <v>0.09</v>
      </c>
      <c r="S27" s="42" t="s">
        <v>24</v>
      </c>
    </row>
    <row r="28" spans="1:20" s="37" customFormat="1" ht="17.25" customHeight="1">
      <c r="A28" s="35">
        <f t="shared" si="9"/>
        <v>6</v>
      </c>
      <c r="B28" s="38" t="s">
        <v>29</v>
      </c>
      <c r="C28" s="61">
        <v>42033</v>
      </c>
      <c r="D28" s="39">
        <v>46253</v>
      </c>
      <c r="E28" s="40">
        <f>'01-17'!K33</f>
        <v>1437500000</v>
      </c>
      <c r="F28" s="63"/>
      <c r="G28" s="62"/>
      <c r="H28" s="39">
        <v>42785</v>
      </c>
      <c r="I28" s="62">
        <v>12500000</v>
      </c>
      <c r="J28" s="63"/>
      <c r="K28" s="62">
        <f t="shared" si="7"/>
        <v>1425000000</v>
      </c>
      <c r="L28" s="63"/>
      <c r="M28" s="40">
        <f t="shared" si="10"/>
        <v>7546875</v>
      </c>
      <c r="N28" s="63"/>
      <c r="O28" s="27">
        <f t="shared" si="11"/>
        <v>0</v>
      </c>
      <c r="P28" s="27">
        <f t="shared" si="8"/>
        <v>0</v>
      </c>
      <c r="Q28" s="79">
        <v>42785</v>
      </c>
      <c r="R28" s="78">
        <v>0.09</v>
      </c>
      <c r="S28" s="42" t="s">
        <v>24</v>
      </c>
    </row>
    <row r="29" spans="1:20" s="37" customFormat="1" ht="17.25" customHeight="1">
      <c r="A29" s="35">
        <f t="shared" si="9"/>
        <v>7</v>
      </c>
      <c r="B29" s="38" t="s">
        <v>30</v>
      </c>
      <c r="C29" s="61">
        <v>42088</v>
      </c>
      <c r="D29" s="39">
        <v>46253</v>
      </c>
      <c r="E29" s="40">
        <f>'01-17'!K34</f>
        <v>1916650000</v>
      </c>
      <c r="F29" s="63"/>
      <c r="G29" s="62"/>
      <c r="H29" s="39">
        <v>42785</v>
      </c>
      <c r="I29" s="62">
        <v>16670000</v>
      </c>
      <c r="J29" s="63"/>
      <c r="K29" s="62">
        <f t="shared" si="7"/>
        <v>1899980000</v>
      </c>
      <c r="L29" s="63"/>
      <c r="M29" s="40">
        <f t="shared" si="10"/>
        <v>16291525</v>
      </c>
      <c r="N29" s="63"/>
      <c r="O29" s="27">
        <f t="shared" si="11"/>
        <v>0</v>
      </c>
      <c r="P29" s="27">
        <f t="shared" si="8"/>
        <v>0</v>
      </c>
      <c r="Q29" s="79">
        <v>42785</v>
      </c>
      <c r="R29" s="78">
        <v>0.09</v>
      </c>
      <c r="S29" s="42" t="s">
        <v>24</v>
      </c>
    </row>
    <row r="30" spans="1:20" s="37" customFormat="1" ht="17.25" customHeight="1">
      <c r="A30" s="35">
        <f t="shared" si="9"/>
        <v>8</v>
      </c>
      <c r="B30" s="38" t="s">
        <v>31</v>
      </c>
      <c r="C30" s="61">
        <v>42114</v>
      </c>
      <c r="D30" s="39">
        <v>46253</v>
      </c>
      <c r="E30" s="40">
        <f>'01-17'!K35</f>
        <v>1341650000</v>
      </c>
      <c r="F30" s="63"/>
      <c r="G30" s="62"/>
      <c r="H30" s="39">
        <v>42785</v>
      </c>
      <c r="I30" s="62">
        <v>11670000</v>
      </c>
      <c r="J30" s="63"/>
      <c r="K30" s="62">
        <f t="shared" si="7"/>
        <v>1329980000</v>
      </c>
      <c r="L30" s="63"/>
      <c r="M30" s="40">
        <f t="shared" si="10"/>
        <v>11404025</v>
      </c>
      <c r="N30" s="63"/>
      <c r="O30" s="27">
        <f t="shared" si="11"/>
        <v>0</v>
      </c>
      <c r="P30" s="27">
        <f t="shared" si="8"/>
        <v>0</v>
      </c>
      <c r="Q30" s="79">
        <v>42785</v>
      </c>
      <c r="R30" s="78">
        <v>0.09</v>
      </c>
      <c r="S30" s="42" t="s">
        <v>24</v>
      </c>
    </row>
    <row r="31" spans="1:20" s="37" customFormat="1" ht="17.25" customHeight="1">
      <c r="A31" s="35">
        <f t="shared" si="9"/>
        <v>9</v>
      </c>
      <c r="B31" s="38" t="s">
        <v>32</v>
      </c>
      <c r="C31" s="61">
        <v>42138</v>
      </c>
      <c r="D31" s="39">
        <v>46253</v>
      </c>
      <c r="E31" s="40">
        <f>'01-17'!K36</f>
        <v>1437500000</v>
      </c>
      <c r="F31" s="63"/>
      <c r="G31" s="62"/>
      <c r="H31" s="39">
        <v>42785</v>
      </c>
      <c r="I31" s="62">
        <v>12500000</v>
      </c>
      <c r="J31" s="63"/>
      <c r="K31" s="62">
        <f t="shared" si="7"/>
        <v>1425000000</v>
      </c>
      <c r="L31" s="63"/>
      <c r="M31" s="40">
        <f t="shared" si="10"/>
        <v>12218750</v>
      </c>
      <c r="N31" s="63"/>
      <c r="O31" s="27">
        <f t="shared" si="11"/>
        <v>0</v>
      </c>
      <c r="P31" s="27">
        <f t="shared" si="8"/>
        <v>0</v>
      </c>
      <c r="Q31" s="79">
        <v>42785</v>
      </c>
      <c r="R31" s="78">
        <v>0.09</v>
      </c>
      <c r="S31" s="42" t="s">
        <v>24</v>
      </c>
    </row>
    <row r="32" spans="1:20" s="37" customFormat="1" ht="17.25" customHeight="1">
      <c r="A32" s="35">
        <f t="shared" si="9"/>
        <v>10</v>
      </c>
      <c r="B32" s="38" t="s">
        <v>33</v>
      </c>
      <c r="C32" s="61">
        <v>42164</v>
      </c>
      <c r="D32" s="39">
        <v>46253</v>
      </c>
      <c r="E32" s="40">
        <f>'01-17'!K37</f>
        <v>1437500000</v>
      </c>
      <c r="F32" s="63"/>
      <c r="G32" s="62"/>
      <c r="H32" s="39">
        <v>42785</v>
      </c>
      <c r="I32" s="62">
        <v>12500000</v>
      </c>
      <c r="J32" s="63"/>
      <c r="K32" s="62">
        <f t="shared" si="7"/>
        <v>1425000000</v>
      </c>
      <c r="L32" s="63"/>
      <c r="M32" s="40">
        <f t="shared" si="10"/>
        <v>12218750</v>
      </c>
      <c r="N32" s="63"/>
      <c r="O32" s="27">
        <f t="shared" si="11"/>
        <v>0</v>
      </c>
      <c r="P32" s="27">
        <f t="shared" si="8"/>
        <v>0</v>
      </c>
      <c r="Q32" s="79">
        <v>42785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11</v>
      </c>
      <c r="B33" s="38" t="s">
        <v>34</v>
      </c>
      <c r="C33" s="61">
        <v>42187</v>
      </c>
      <c r="D33" s="39">
        <v>46253</v>
      </c>
      <c r="E33" s="40">
        <f>'01-17'!K38</f>
        <v>1437500000</v>
      </c>
      <c r="F33" s="63"/>
      <c r="G33" s="62"/>
      <c r="H33" s="39">
        <v>42785</v>
      </c>
      <c r="I33" s="62">
        <v>12500000</v>
      </c>
      <c r="J33" s="63"/>
      <c r="K33" s="62">
        <f t="shared" si="7"/>
        <v>1425000000</v>
      </c>
      <c r="L33" s="63"/>
      <c r="M33" s="40">
        <f t="shared" si="10"/>
        <v>12218750</v>
      </c>
      <c r="N33" s="63"/>
      <c r="O33" s="27">
        <f t="shared" si="11"/>
        <v>0</v>
      </c>
      <c r="P33" s="27">
        <f t="shared" si="8"/>
        <v>0</v>
      </c>
      <c r="Q33" s="79">
        <v>42785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12</v>
      </c>
      <c r="B34" s="38" t="s">
        <v>35</v>
      </c>
      <c r="C34" s="61">
        <v>42195</v>
      </c>
      <c r="D34" s="39">
        <v>46253</v>
      </c>
      <c r="E34" s="40">
        <f>'01-17'!K39</f>
        <v>1437500000</v>
      </c>
      <c r="F34" s="63"/>
      <c r="G34" s="62"/>
      <c r="H34" s="39">
        <v>42785</v>
      </c>
      <c r="I34" s="62">
        <v>12500000</v>
      </c>
      <c r="J34" s="63"/>
      <c r="K34" s="62">
        <f t="shared" si="7"/>
        <v>1425000000</v>
      </c>
      <c r="L34" s="63"/>
      <c r="M34" s="40">
        <f t="shared" si="10"/>
        <v>12218750</v>
      </c>
      <c r="N34" s="63"/>
      <c r="O34" s="27">
        <f t="shared" si="11"/>
        <v>0</v>
      </c>
      <c r="P34" s="27">
        <f t="shared" si="8"/>
        <v>0</v>
      </c>
      <c r="Q34" s="79">
        <v>42785</v>
      </c>
      <c r="R34" s="78">
        <v>0.09</v>
      </c>
      <c r="S34" s="42" t="s">
        <v>24</v>
      </c>
    </row>
    <row r="35" spans="1:19" s="37" customFormat="1" ht="17.25" customHeight="1">
      <c r="A35" s="35">
        <f t="shared" si="9"/>
        <v>13</v>
      </c>
      <c r="B35" s="38" t="s">
        <v>36</v>
      </c>
      <c r="C35" s="61">
        <v>42215</v>
      </c>
      <c r="D35" s="39">
        <v>46253</v>
      </c>
      <c r="E35" s="40">
        <f>'01-17'!K40</f>
        <v>958310000</v>
      </c>
      <c r="F35" s="63"/>
      <c r="G35" s="62"/>
      <c r="H35" s="39">
        <v>42785</v>
      </c>
      <c r="I35" s="62">
        <v>8330000</v>
      </c>
      <c r="J35" s="63"/>
      <c r="K35" s="62">
        <f t="shared" si="7"/>
        <v>949980000</v>
      </c>
      <c r="L35" s="63"/>
      <c r="M35" s="40">
        <f t="shared" si="10"/>
        <v>8145635</v>
      </c>
      <c r="N35" s="63"/>
      <c r="O35" s="27">
        <f t="shared" si="11"/>
        <v>0</v>
      </c>
      <c r="P35" s="27">
        <f t="shared" si="8"/>
        <v>0</v>
      </c>
      <c r="Q35" s="79">
        <v>42785</v>
      </c>
      <c r="R35" s="78">
        <v>0.09</v>
      </c>
      <c r="S35" s="42" t="s">
        <v>24</v>
      </c>
    </row>
    <row r="36" spans="1:19" s="37" customFormat="1" ht="17.25" customHeight="1">
      <c r="A36" s="35">
        <f t="shared" si="9"/>
        <v>14</v>
      </c>
      <c r="B36" s="38" t="s">
        <v>37</v>
      </c>
      <c r="C36" s="61">
        <v>42229</v>
      </c>
      <c r="D36" s="39">
        <v>46253</v>
      </c>
      <c r="E36" s="40">
        <f>'01-17'!K41</f>
        <v>958310000</v>
      </c>
      <c r="F36" s="63"/>
      <c r="G36" s="62"/>
      <c r="H36" s="39">
        <v>42785</v>
      </c>
      <c r="I36" s="62">
        <v>8330000</v>
      </c>
      <c r="J36" s="63"/>
      <c r="K36" s="62">
        <f t="shared" si="7"/>
        <v>949980000</v>
      </c>
      <c r="L36" s="63"/>
      <c r="M36" s="40">
        <f t="shared" si="10"/>
        <v>8145635</v>
      </c>
      <c r="N36" s="63"/>
      <c r="O36" s="27">
        <f t="shared" si="11"/>
        <v>0</v>
      </c>
      <c r="P36" s="27">
        <f t="shared" si="8"/>
        <v>0</v>
      </c>
      <c r="Q36" s="79">
        <v>42785</v>
      </c>
      <c r="R36" s="78">
        <v>0.09</v>
      </c>
      <c r="S36" s="42" t="s">
        <v>24</v>
      </c>
    </row>
    <row r="37" spans="1:19" s="37" customFormat="1" ht="17.25" customHeight="1">
      <c r="A37" s="35">
        <f t="shared" si="9"/>
        <v>15</v>
      </c>
      <c r="B37" s="38" t="s">
        <v>58</v>
      </c>
      <c r="C37" s="61">
        <v>42730</v>
      </c>
      <c r="D37" s="61">
        <v>42851</v>
      </c>
      <c r="E37" s="62"/>
      <c r="F37" s="63">
        <v>87000</v>
      </c>
      <c r="G37" s="62"/>
      <c r="H37" s="61"/>
      <c r="I37" s="62"/>
      <c r="J37" s="63"/>
      <c r="K37" s="62">
        <f t="shared" si="7"/>
        <v>0</v>
      </c>
      <c r="L37" s="63">
        <f>F37</f>
        <v>87000</v>
      </c>
      <c r="M37" s="40"/>
      <c r="N37" s="63"/>
      <c r="O37" s="27">
        <f t="shared" si="11"/>
        <v>205.41666666666666</v>
      </c>
      <c r="P37" s="27">
        <f t="shared" si="8"/>
        <v>0</v>
      </c>
      <c r="Q37" s="79">
        <v>42785</v>
      </c>
      <c r="R37" s="78">
        <v>2.5000000000000001E-2</v>
      </c>
      <c r="S37" s="42"/>
    </row>
    <row r="38" spans="1:19" s="37" customFormat="1" ht="17.25" hidden="1" customHeight="1">
      <c r="A38" s="35"/>
      <c r="B38" s="38"/>
      <c r="C38" s="61"/>
      <c r="D38" s="61"/>
      <c r="E38" s="62"/>
      <c r="F38" s="63"/>
      <c r="G38" s="62"/>
      <c r="H38" s="61"/>
      <c r="I38" s="62"/>
      <c r="J38" s="63"/>
      <c r="K38" s="62"/>
      <c r="L38" s="63"/>
      <c r="M38" s="62"/>
      <c r="N38" s="63"/>
      <c r="O38" s="63"/>
      <c r="P38" s="63"/>
      <c r="Q38" s="59"/>
      <c r="R38" s="41"/>
      <c r="S38" s="42"/>
    </row>
    <row r="39" spans="1:19" s="22" customFormat="1" ht="17.25" customHeight="1">
      <c r="A39" s="18"/>
      <c r="B39" s="23"/>
      <c r="C39" s="52"/>
      <c r="D39" s="52"/>
      <c r="E39" s="54"/>
      <c r="F39" s="53"/>
      <c r="G39" s="54"/>
      <c r="H39" s="52"/>
      <c r="I39" s="54"/>
      <c r="J39" s="53"/>
      <c r="K39" s="54"/>
      <c r="L39" s="53"/>
      <c r="M39" s="54"/>
      <c r="N39" s="53"/>
      <c r="O39" s="53"/>
      <c r="P39" s="53"/>
      <c r="Q39" s="19"/>
      <c r="R39" s="51"/>
      <c r="S39" s="28"/>
    </row>
    <row r="40" spans="1:19" s="58" customFormat="1" ht="17.25" customHeight="1">
      <c r="A40" s="127" t="s">
        <v>38</v>
      </c>
      <c r="B40" s="127"/>
      <c r="C40" s="55"/>
      <c r="D40" s="55"/>
      <c r="E40" s="30">
        <f>SUM(E23:E39)</f>
        <v>19191520000</v>
      </c>
      <c r="F40" s="31">
        <f>SUM(F23:F39)</f>
        <v>87000</v>
      </c>
      <c r="G40" s="30">
        <f>SUM(G23:G39)</f>
        <v>0</v>
      </c>
      <c r="H40" s="31"/>
      <c r="I40" s="30">
        <f t="shared" ref="I40:P40" si="12">SUM(I23:I39)</f>
        <v>166680000</v>
      </c>
      <c r="J40" s="31">
        <f t="shared" si="12"/>
        <v>0</v>
      </c>
      <c r="K40" s="30">
        <f t="shared" si="12"/>
        <v>19024840000</v>
      </c>
      <c r="L40" s="31">
        <f t="shared" si="12"/>
        <v>87000</v>
      </c>
      <c r="M40" s="30">
        <f t="shared" si="12"/>
        <v>158456045</v>
      </c>
      <c r="N40" s="31">
        <f t="shared" si="12"/>
        <v>0</v>
      </c>
      <c r="O40" s="31">
        <f t="shared" si="12"/>
        <v>205.41666666666666</v>
      </c>
      <c r="P40" s="31">
        <f t="shared" si="12"/>
        <v>0</v>
      </c>
      <c r="Q40" s="56"/>
      <c r="R40" s="57"/>
      <c r="S40" s="33"/>
    </row>
    <row r="41" spans="1:19" ht="17.25" customHeight="1">
      <c r="F41" s="68"/>
    </row>
    <row r="42" spans="1:19" ht="17.25" customHeight="1">
      <c r="F42" s="65"/>
    </row>
    <row r="43" spans="1:19" ht="17.25" customHeight="1">
      <c r="F43" s="65"/>
    </row>
    <row r="44" spans="1:19" ht="17.25" customHeight="1">
      <c r="F44" s="65"/>
    </row>
    <row r="46" spans="1:19" ht="17.25" customHeight="1">
      <c r="F46" s="68"/>
    </row>
    <row r="54" spans="1:19" s="73" customFormat="1" ht="17.25" customHeight="1">
      <c r="A54" s="64"/>
      <c r="B54" s="65"/>
      <c r="C54" s="66"/>
      <c r="D54" s="66"/>
      <c r="E54" s="67"/>
      <c r="F54" s="71"/>
      <c r="G54" s="67"/>
      <c r="H54" s="69"/>
      <c r="I54" s="70"/>
      <c r="J54" s="70"/>
      <c r="K54" s="67"/>
      <c r="L54" s="71"/>
      <c r="M54" s="75"/>
      <c r="N54" s="75"/>
      <c r="O54" s="75"/>
      <c r="Q54" s="74"/>
      <c r="R54" s="74"/>
      <c r="S54" s="64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E11" sqref="E1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6" t="s">
        <v>6</v>
      </c>
      <c r="I2" s="136"/>
      <c r="J2" s="136"/>
      <c r="K2" s="131" t="s">
        <v>7</v>
      </c>
      <c r="L2" s="131"/>
      <c r="M2" s="134" t="s">
        <v>8</v>
      </c>
      <c r="N2" s="134"/>
      <c r="O2" s="134"/>
      <c r="P2" s="134"/>
      <c r="Q2" s="134"/>
      <c r="R2" s="135" t="s">
        <v>9</v>
      </c>
      <c r="S2" s="128" t="s">
        <v>10</v>
      </c>
    </row>
    <row r="3" spans="1:20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08" t="s">
        <v>13</v>
      </c>
      <c r="J3" s="108" t="s">
        <v>15</v>
      </c>
      <c r="K3" s="105" t="s">
        <v>13</v>
      </c>
      <c r="L3" s="15" t="s">
        <v>15</v>
      </c>
      <c r="M3" s="106" t="s">
        <v>16</v>
      </c>
      <c r="N3" s="106" t="s">
        <v>17</v>
      </c>
      <c r="O3" s="17" t="s">
        <v>18</v>
      </c>
      <c r="P3" s="107" t="s">
        <v>48</v>
      </c>
      <c r="Q3" s="107" t="s">
        <v>19</v>
      </c>
      <c r="R3" s="135"/>
      <c r="S3" s="12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6" si="1">F4-J4</f>
        <v>82000</v>
      </c>
      <c r="M4" s="25"/>
      <c r="N4" s="25"/>
      <c r="O4" s="27">
        <f t="shared" ref="O4:O16" si="2">IF((LEFT(B4,4)="1402"),F4*R4*DATEDIF(DATE(YEAR(Q4),MONTH(Q4)-1,IF(MONTH(C4)=(MONTH(Q4)-1),DAY(C4),16)),Q4,"d")/360,0)</f>
        <v>0</v>
      </c>
      <c r="P4" s="27">
        <f t="shared" ref="P4:P16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ref="L17" si="4">F17-J17</f>
        <v>41000</v>
      </c>
      <c r="M17" s="53"/>
      <c r="N17" s="54"/>
      <c r="O17" s="27">
        <f t="shared" ref="O17" si="5">IF((LEFT(B17,4)="1402"),F17*R17*DATEDIF(DATE(YEAR(Q17),MONTH(Q17)-1,IF(MONTH(C17)=(MONTH(Q17)-1),DAY(C17),16)),Q17,"d")/360,0)</f>
        <v>0</v>
      </c>
      <c r="P17" s="27">
        <f t="shared" ref="P17" si="6">IF((LEFT(B17,4)="ld17"),F17*R17*DATEDIF(DATE(YEAR(Q17),MONTH(Q17)-1,DAY(Q17)),Q17,"d")/360,0)</f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933280000</v>
      </c>
      <c r="F20" s="27"/>
      <c r="G20" s="40"/>
      <c r="H20" s="39">
        <v>42874</v>
      </c>
      <c r="I20" s="40">
        <v>8340000</v>
      </c>
      <c r="J20" s="27"/>
      <c r="K20" s="40">
        <f t="shared" ref="K20:K34" si="7">E20-I20</f>
        <v>924940000</v>
      </c>
      <c r="L20" s="27"/>
      <c r="M20" s="40">
        <f>IF((LEFT(B20,4)="1402"),E20*R20*DATEDIF(DATE(YEAR(Q20),MONTH(Q20)-1,IF(MONTH(C20)=(MONTH(Q20)-1),DAY(C20),16)),Q20,"d")/360,0)</f>
        <v>7699560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8">IF((LEFT(B20,4)="1015"),F20*R20*DATEDIF(Q20,Q$1,"d")/360,0)</f>
        <v>0</v>
      </c>
      <c r="Q20" s="79">
        <f>H20</f>
        <v>42874</v>
      </c>
      <c r="R20" s="78">
        <v>0.09</v>
      </c>
      <c r="S20" s="60" t="s">
        <v>24</v>
      </c>
    </row>
    <row r="21" spans="1:19" s="37" customFormat="1" ht="17.25" customHeight="1">
      <c r="A21" s="35">
        <f t="shared" ref="A21:A34" si="9">ROW()-19</f>
        <v>2</v>
      </c>
      <c r="B21" s="38" t="s">
        <v>25</v>
      </c>
      <c r="C21" s="39">
        <v>41905</v>
      </c>
      <c r="D21" s="39">
        <v>46253</v>
      </c>
      <c r="E21" s="40">
        <v>1866640000</v>
      </c>
      <c r="F21" s="27"/>
      <c r="G21" s="40"/>
      <c r="H21" s="39">
        <v>42874</v>
      </c>
      <c r="I21" s="40">
        <v>16670000</v>
      </c>
      <c r="J21" s="27"/>
      <c r="K21" s="40">
        <f t="shared" si="7"/>
        <v>1849970000</v>
      </c>
      <c r="L21" s="27"/>
      <c r="M21" s="40">
        <f t="shared" ref="M21:M33" si="10">IF((LEFT(B21,4)="1402"),E21*R21*DATEDIF(DATE(YEAR(Q21),MONTH(Q21)-1,IF(MONTH(C21)=(MONTH(Q21)-1),DAY(C21),16)),Q21,"d")/360,0)</f>
        <v>15399780</v>
      </c>
      <c r="N21" s="27"/>
      <c r="O21" s="27">
        <f t="shared" ref="O21:O34" si="11">IF((LEFT(B21,4)="1402"),F21*R21*DATEDIF(DATE(YEAR(Q21),MONTH(Q21)-1,IF(MONTH(C21)=(MONTH(Q21)-1),DAY(C21),16)),Q21,"d")/360,0)</f>
        <v>0</v>
      </c>
      <c r="P21" s="27">
        <f t="shared" si="8"/>
        <v>0</v>
      </c>
      <c r="Q21" s="79">
        <f t="shared" ref="Q21:Q33" si="12">H21</f>
        <v>42874</v>
      </c>
      <c r="R21" s="78">
        <v>0.09</v>
      </c>
      <c r="S21" s="42" t="s">
        <v>24</v>
      </c>
    </row>
    <row r="22" spans="1:19" s="37" customFormat="1" ht="17.25" customHeight="1">
      <c r="A22" s="35">
        <f t="shared" si="9"/>
        <v>3</v>
      </c>
      <c r="B22" s="38" t="s">
        <v>26</v>
      </c>
      <c r="C22" s="61">
        <v>41934</v>
      </c>
      <c r="D22" s="39">
        <v>46253</v>
      </c>
      <c r="E22" s="40">
        <v>1493280000</v>
      </c>
      <c r="F22" s="63"/>
      <c r="G22" s="62"/>
      <c r="H22" s="39">
        <v>42874</v>
      </c>
      <c r="I22" s="62">
        <v>13340000</v>
      </c>
      <c r="J22" s="63"/>
      <c r="K22" s="40">
        <f t="shared" si="7"/>
        <v>1479940000</v>
      </c>
      <c r="L22" s="63"/>
      <c r="M22" s="40">
        <f t="shared" si="10"/>
        <v>12319560</v>
      </c>
      <c r="N22" s="63"/>
      <c r="O22" s="27">
        <f t="shared" si="11"/>
        <v>0</v>
      </c>
      <c r="P22" s="27">
        <f t="shared" si="8"/>
        <v>0</v>
      </c>
      <c r="Q22" s="79">
        <f t="shared" si="12"/>
        <v>42874</v>
      </c>
      <c r="R22" s="78">
        <v>0.09</v>
      </c>
      <c r="S22" s="42" t="s">
        <v>24</v>
      </c>
    </row>
    <row r="23" spans="1:19" s="37" customFormat="1" ht="17.25" customHeight="1">
      <c r="A23" s="35">
        <f t="shared" si="9"/>
        <v>4</v>
      </c>
      <c r="B23" s="38" t="s">
        <v>27</v>
      </c>
      <c r="C23" s="61">
        <v>41963</v>
      </c>
      <c r="D23" s="39">
        <v>46253</v>
      </c>
      <c r="E23" s="40">
        <v>1400000000</v>
      </c>
      <c r="F23" s="63"/>
      <c r="G23" s="62"/>
      <c r="H23" s="39">
        <v>42874</v>
      </c>
      <c r="I23" s="62">
        <v>12500000</v>
      </c>
      <c r="J23" s="63"/>
      <c r="K23" s="40">
        <f t="shared" si="7"/>
        <v>1387500000</v>
      </c>
      <c r="L23" s="63"/>
      <c r="M23" s="40">
        <f t="shared" si="10"/>
        <v>11550000</v>
      </c>
      <c r="N23" s="63"/>
      <c r="O23" s="27">
        <f t="shared" si="11"/>
        <v>0</v>
      </c>
      <c r="P23" s="27">
        <f t="shared" si="8"/>
        <v>0</v>
      </c>
      <c r="Q23" s="79">
        <f t="shared" si="12"/>
        <v>42874</v>
      </c>
      <c r="R23" s="78">
        <v>0.09</v>
      </c>
      <c r="S23" s="42" t="s">
        <v>24</v>
      </c>
    </row>
    <row r="24" spans="1:19" s="37" customFormat="1" ht="17.25" customHeight="1">
      <c r="A24" s="35">
        <f t="shared" si="9"/>
        <v>5</v>
      </c>
      <c r="B24" s="38" t="s">
        <v>28</v>
      </c>
      <c r="C24" s="61">
        <v>41984</v>
      </c>
      <c r="D24" s="39">
        <v>46253</v>
      </c>
      <c r="E24" s="40">
        <v>933360000</v>
      </c>
      <c r="F24" s="63"/>
      <c r="G24" s="62"/>
      <c r="H24" s="39">
        <v>42874</v>
      </c>
      <c r="I24" s="62">
        <v>8330000</v>
      </c>
      <c r="J24" s="63"/>
      <c r="K24" s="62">
        <f t="shared" si="7"/>
        <v>925030000</v>
      </c>
      <c r="L24" s="63"/>
      <c r="M24" s="40">
        <f t="shared" si="10"/>
        <v>7700220</v>
      </c>
      <c r="N24" s="63"/>
      <c r="O24" s="27">
        <f t="shared" si="11"/>
        <v>0</v>
      </c>
      <c r="P24" s="27">
        <f t="shared" si="8"/>
        <v>0</v>
      </c>
      <c r="Q24" s="79">
        <f t="shared" si="12"/>
        <v>42874</v>
      </c>
      <c r="R24" s="78">
        <v>0.09</v>
      </c>
      <c r="S24" s="42" t="s">
        <v>24</v>
      </c>
    </row>
    <row r="25" spans="1:19" s="37" customFormat="1" ht="17.25" customHeight="1">
      <c r="A25" s="35">
        <f t="shared" si="9"/>
        <v>6</v>
      </c>
      <c r="B25" s="38" t="s">
        <v>29</v>
      </c>
      <c r="C25" s="61">
        <v>42033</v>
      </c>
      <c r="D25" s="39">
        <v>46253</v>
      </c>
      <c r="E25" s="40">
        <v>1400000000</v>
      </c>
      <c r="F25" s="63"/>
      <c r="G25" s="62"/>
      <c r="H25" s="39">
        <v>42874</v>
      </c>
      <c r="I25" s="62">
        <v>12500000</v>
      </c>
      <c r="J25" s="63"/>
      <c r="K25" s="62">
        <f t="shared" si="7"/>
        <v>1387500000</v>
      </c>
      <c r="L25" s="63"/>
      <c r="M25" s="40">
        <f t="shared" si="10"/>
        <v>11550000</v>
      </c>
      <c r="N25" s="63"/>
      <c r="O25" s="27">
        <f t="shared" si="11"/>
        <v>0</v>
      </c>
      <c r="P25" s="27">
        <f t="shared" si="8"/>
        <v>0</v>
      </c>
      <c r="Q25" s="79">
        <f t="shared" si="12"/>
        <v>42874</v>
      </c>
      <c r="R25" s="78">
        <v>0.09</v>
      </c>
      <c r="S25" s="42" t="s">
        <v>24</v>
      </c>
    </row>
    <row r="26" spans="1:19" s="37" customFormat="1" ht="17.25" customHeight="1">
      <c r="A26" s="35">
        <f t="shared" si="9"/>
        <v>7</v>
      </c>
      <c r="B26" s="38" t="s">
        <v>30</v>
      </c>
      <c r="C26" s="61">
        <v>42088</v>
      </c>
      <c r="D26" s="39">
        <v>46253</v>
      </c>
      <c r="E26" s="40">
        <v>1866640000</v>
      </c>
      <c r="F26" s="63"/>
      <c r="G26" s="62"/>
      <c r="H26" s="39">
        <v>42874</v>
      </c>
      <c r="I26" s="62">
        <v>16670000</v>
      </c>
      <c r="J26" s="63"/>
      <c r="K26" s="62">
        <f t="shared" si="7"/>
        <v>1849970000</v>
      </c>
      <c r="L26" s="63"/>
      <c r="M26" s="40">
        <f t="shared" si="10"/>
        <v>15399780</v>
      </c>
      <c r="N26" s="63"/>
      <c r="O26" s="27">
        <f t="shared" si="11"/>
        <v>0</v>
      </c>
      <c r="P26" s="27">
        <f t="shared" si="8"/>
        <v>0</v>
      </c>
      <c r="Q26" s="79">
        <f t="shared" si="12"/>
        <v>42874</v>
      </c>
      <c r="R26" s="78">
        <v>0.09</v>
      </c>
      <c r="S26" s="42" t="s">
        <v>24</v>
      </c>
    </row>
    <row r="27" spans="1:19" s="37" customFormat="1" ht="17.25" customHeight="1">
      <c r="A27" s="35">
        <f t="shared" si="9"/>
        <v>8</v>
      </c>
      <c r="B27" s="38" t="s">
        <v>31</v>
      </c>
      <c r="C27" s="61">
        <v>42114</v>
      </c>
      <c r="D27" s="39">
        <v>46253</v>
      </c>
      <c r="E27" s="40">
        <v>1306640000</v>
      </c>
      <c r="F27" s="63"/>
      <c r="G27" s="62"/>
      <c r="H27" s="39">
        <v>42874</v>
      </c>
      <c r="I27" s="62">
        <v>11670000</v>
      </c>
      <c r="J27" s="63"/>
      <c r="K27" s="62">
        <f t="shared" si="7"/>
        <v>1294970000</v>
      </c>
      <c r="L27" s="63"/>
      <c r="M27" s="40">
        <f t="shared" si="10"/>
        <v>9473140</v>
      </c>
      <c r="N27" s="63"/>
      <c r="O27" s="27">
        <f t="shared" si="11"/>
        <v>0</v>
      </c>
      <c r="P27" s="27">
        <f t="shared" si="8"/>
        <v>0</v>
      </c>
      <c r="Q27" s="79">
        <f t="shared" si="12"/>
        <v>42874</v>
      </c>
      <c r="R27" s="78">
        <v>0.09</v>
      </c>
      <c r="S27" s="42" t="s">
        <v>24</v>
      </c>
    </row>
    <row r="28" spans="1:19" s="37" customFormat="1" ht="17.25" customHeight="1">
      <c r="A28" s="35">
        <f t="shared" si="9"/>
        <v>9</v>
      </c>
      <c r="B28" s="38" t="s">
        <v>32</v>
      </c>
      <c r="C28" s="61">
        <v>42138</v>
      </c>
      <c r="D28" s="39">
        <v>46253</v>
      </c>
      <c r="E28" s="40">
        <v>1400000000</v>
      </c>
      <c r="F28" s="63"/>
      <c r="G28" s="62"/>
      <c r="H28" s="39">
        <v>42874</v>
      </c>
      <c r="I28" s="62">
        <v>12500000</v>
      </c>
      <c r="J28" s="63"/>
      <c r="K28" s="62">
        <f t="shared" si="7"/>
        <v>1387500000</v>
      </c>
      <c r="L28" s="63"/>
      <c r="M28" s="40">
        <f t="shared" si="10"/>
        <v>11550000</v>
      </c>
      <c r="N28" s="63"/>
      <c r="O28" s="27">
        <f t="shared" si="11"/>
        <v>0</v>
      </c>
      <c r="P28" s="27">
        <f t="shared" si="8"/>
        <v>0</v>
      </c>
      <c r="Q28" s="79">
        <f t="shared" si="12"/>
        <v>42874</v>
      </c>
      <c r="R28" s="78">
        <v>0.09</v>
      </c>
      <c r="S28" s="42" t="s">
        <v>24</v>
      </c>
    </row>
    <row r="29" spans="1:19" s="37" customFormat="1" ht="17.25" customHeight="1">
      <c r="A29" s="35">
        <f t="shared" si="9"/>
        <v>10</v>
      </c>
      <c r="B29" s="38" t="s">
        <v>33</v>
      </c>
      <c r="C29" s="61">
        <v>42164</v>
      </c>
      <c r="D29" s="39">
        <v>46253</v>
      </c>
      <c r="E29" s="40">
        <v>1400000000</v>
      </c>
      <c r="F29" s="63"/>
      <c r="G29" s="62"/>
      <c r="H29" s="39">
        <v>42874</v>
      </c>
      <c r="I29" s="62">
        <v>12500000</v>
      </c>
      <c r="J29" s="63"/>
      <c r="K29" s="62">
        <f t="shared" si="7"/>
        <v>1387500000</v>
      </c>
      <c r="L29" s="63"/>
      <c r="M29" s="40">
        <f t="shared" si="10"/>
        <v>11550000</v>
      </c>
      <c r="N29" s="63"/>
      <c r="O29" s="27">
        <f t="shared" si="11"/>
        <v>0</v>
      </c>
      <c r="P29" s="27">
        <f t="shared" si="8"/>
        <v>0</v>
      </c>
      <c r="Q29" s="79">
        <f t="shared" si="12"/>
        <v>42874</v>
      </c>
      <c r="R29" s="78">
        <v>0.09</v>
      </c>
      <c r="S29" s="42" t="s">
        <v>24</v>
      </c>
    </row>
    <row r="30" spans="1:19" s="37" customFormat="1" ht="17.25" customHeight="1">
      <c r="A30" s="35">
        <f t="shared" si="9"/>
        <v>11</v>
      </c>
      <c r="B30" s="38" t="s">
        <v>34</v>
      </c>
      <c r="C30" s="61">
        <v>42187</v>
      </c>
      <c r="D30" s="39">
        <v>46253</v>
      </c>
      <c r="E30" s="40">
        <v>1400000000</v>
      </c>
      <c r="F30" s="63"/>
      <c r="G30" s="62"/>
      <c r="H30" s="39">
        <v>42874</v>
      </c>
      <c r="I30" s="62">
        <v>12500000</v>
      </c>
      <c r="J30" s="63"/>
      <c r="K30" s="62">
        <f t="shared" si="7"/>
        <v>1387500000</v>
      </c>
      <c r="L30" s="63"/>
      <c r="M30" s="40">
        <f t="shared" si="10"/>
        <v>11550000</v>
      </c>
      <c r="N30" s="63"/>
      <c r="O30" s="27">
        <f t="shared" si="11"/>
        <v>0</v>
      </c>
      <c r="P30" s="27">
        <f t="shared" si="8"/>
        <v>0</v>
      </c>
      <c r="Q30" s="79">
        <f t="shared" si="12"/>
        <v>42874</v>
      </c>
      <c r="R30" s="78">
        <v>0.09</v>
      </c>
      <c r="S30" s="42" t="s">
        <v>24</v>
      </c>
    </row>
    <row r="31" spans="1:19" s="37" customFormat="1" ht="17.25" customHeight="1">
      <c r="A31" s="35">
        <f t="shared" si="9"/>
        <v>12</v>
      </c>
      <c r="B31" s="38" t="s">
        <v>35</v>
      </c>
      <c r="C31" s="61">
        <v>42195</v>
      </c>
      <c r="D31" s="39">
        <v>46253</v>
      </c>
      <c r="E31" s="40">
        <v>1400000000</v>
      </c>
      <c r="F31" s="63"/>
      <c r="G31" s="62"/>
      <c r="H31" s="39">
        <v>42874</v>
      </c>
      <c r="I31" s="62">
        <v>12500000</v>
      </c>
      <c r="J31" s="63"/>
      <c r="K31" s="62">
        <f t="shared" si="7"/>
        <v>1387500000</v>
      </c>
      <c r="L31" s="63"/>
      <c r="M31" s="40">
        <f t="shared" si="10"/>
        <v>11550000</v>
      </c>
      <c r="N31" s="63"/>
      <c r="O31" s="27">
        <f t="shared" si="11"/>
        <v>0</v>
      </c>
      <c r="P31" s="27">
        <f t="shared" si="8"/>
        <v>0</v>
      </c>
      <c r="Q31" s="79">
        <f t="shared" si="12"/>
        <v>42874</v>
      </c>
      <c r="R31" s="78">
        <v>0.09</v>
      </c>
      <c r="S31" s="42" t="s">
        <v>24</v>
      </c>
    </row>
    <row r="32" spans="1:19" s="37" customFormat="1" ht="17.25" customHeight="1">
      <c r="A32" s="35">
        <f t="shared" si="9"/>
        <v>13</v>
      </c>
      <c r="B32" s="38" t="s">
        <v>36</v>
      </c>
      <c r="C32" s="61">
        <v>42215</v>
      </c>
      <c r="D32" s="39">
        <v>46253</v>
      </c>
      <c r="E32" s="40">
        <v>933280000</v>
      </c>
      <c r="F32" s="63"/>
      <c r="G32" s="62"/>
      <c r="H32" s="39">
        <v>42874</v>
      </c>
      <c r="I32" s="62">
        <v>8330000</v>
      </c>
      <c r="J32" s="63"/>
      <c r="K32" s="62">
        <f t="shared" si="7"/>
        <v>924950000</v>
      </c>
      <c r="L32" s="63"/>
      <c r="M32" s="40">
        <f t="shared" si="10"/>
        <v>7699560</v>
      </c>
      <c r="N32" s="63"/>
      <c r="O32" s="27">
        <f t="shared" si="11"/>
        <v>0</v>
      </c>
      <c r="P32" s="27">
        <f t="shared" si="8"/>
        <v>0</v>
      </c>
      <c r="Q32" s="79">
        <f t="shared" si="12"/>
        <v>42874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14</v>
      </c>
      <c r="B33" s="38" t="s">
        <v>37</v>
      </c>
      <c r="C33" s="61">
        <v>42229</v>
      </c>
      <c r="D33" s="39">
        <v>46253</v>
      </c>
      <c r="E33" s="40">
        <v>933280000</v>
      </c>
      <c r="F33" s="63"/>
      <c r="G33" s="62"/>
      <c r="H33" s="39">
        <v>42874</v>
      </c>
      <c r="I33" s="62">
        <v>8330000</v>
      </c>
      <c r="J33" s="63"/>
      <c r="K33" s="62">
        <f t="shared" si="7"/>
        <v>924950000</v>
      </c>
      <c r="L33" s="63"/>
      <c r="M33" s="40">
        <f t="shared" si="10"/>
        <v>7699560</v>
      </c>
      <c r="N33" s="63"/>
      <c r="O33" s="27">
        <f t="shared" si="11"/>
        <v>0</v>
      </c>
      <c r="P33" s="27">
        <f t="shared" si="8"/>
        <v>0</v>
      </c>
      <c r="Q33" s="79">
        <f t="shared" si="12"/>
        <v>42874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15</v>
      </c>
      <c r="B34" s="38" t="s">
        <v>58</v>
      </c>
      <c r="C34" s="61">
        <v>42730</v>
      </c>
      <c r="D34" s="61">
        <v>42851</v>
      </c>
      <c r="E34" s="62"/>
      <c r="F34" s="63">
        <v>87000</v>
      </c>
      <c r="G34" s="62"/>
      <c r="H34" s="61"/>
      <c r="I34" s="62"/>
      <c r="J34" s="63"/>
      <c r="K34" s="62">
        <f t="shared" si="7"/>
        <v>0</v>
      </c>
      <c r="L34" s="63">
        <f>F34</f>
        <v>87000</v>
      </c>
      <c r="M34" s="40"/>
      <c r="N34" s="63"/>
      <c r="O34" s="27">
        <f t="shared" si="11"/>
        <v>181.25</v>
      </c>
      <c r="P34" s="27">
        <f t="shared" si="8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18666400000</v>
      </c>
      <c r="F36" s="31">
        <f>SUM(F20:F35)</f>
        <v>87000</v>
      </c>
      <c r="G36" s="30">
        <f>SUM(G20:G35)</f>
        <v>0</v>
      </c>
      <c r="H36" s="31"/>
      <c r="I36" s="30">
        <f t="shared" ref="I36:P36" si="13">SUM(I20:I35)</f>
        <v>166680000</v>
      </c>
      <c r="J36" s="31">
        <f t="shared" si="13"/>
        <v>0</v>
      </c>
      <c r="K36" s="30">
        <f t="shared" si="13"/>
        <v>18499720000</v>
      </c>
      <c r="L36" s="31">
        <f t="shared" si="13"/>
        <v>87000</v>
      </c>
      <c r="M36" s="30">
        <f t="shared" si="13"/>
        <v>152691160</v>
      </c>
      <c r="N36" s="31">
        <f t="shared" si="13"/>
        <v>0</v>
      </c>
      <c r="O36" s="31">
        <f t="shared" si="13"/>
        <v>181.25</v>
      </c>
      <c r="P36" s="31">
        <f t="shared" si="13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7">
    <sortCondition ref="D4:D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R34" sqref="R34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6" t="s">
        <v>6</v>
      </c>
      <c r="I2" s="136"/>
      <c r="J2" s="136"/>
      <c r="K2" s="131" t="s">
        <v>7</v>
      </c>
      <c r="L2" s="131"/>
      <c r="M2" s="134" t="s">
        <v>8</v>
      </c>
      <c r="N2" s="134"/>
      <c r="O2" s="134"/>
      <c r="P2" s="134"/>
      <c r="Q2" s="134"/>
      <c r="R2" s="135" t="s">
        <v>9</v>
      </c>
      <c r="S2" s="128" t="s">
        <v>10</v>
      </c>
    </row>
    <row r="3" spans="1:20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35"/>
      <c r="S3" s="12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20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20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20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20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924940000</v>
      </c>
      <c r="F20" s="27"/>
      <c r="G20" s="40"/>
      <c r="H20" s="39">
        <v>42874</v>
      </c>
      <c r="I20" s="40">
        <v>8340000</v>
      </c>
      <c r="J20" s="27"/>
      <c r="K20" s="40">
        <f t="shared" ref="K20:K34" si="4">E20-I20</f>
        <v>916600000</v>
      </c>
      <c r="L20" s="27"/>
      <c r="M20" s="40">
        <f>IF((LEFT(B20,4)="1402"),E20*R20*DATEDIF(DATE(YEAR(Q20),MONTH(Q20)-1,IF(MONTH(C20)=(MONTH(Q20)-1),DAY(C20),16)),Q20,"d")/360,0)</f>
        <v>7206824.166666667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42874</v>
      </c>
      <c r="R20" s="78">
        <v>8.5000000000000006E-2</v>
      </c>
      <c r="S20" s="60" t="s">
        <v>24</v>
      </c>
      <c r="T20" s="37">
        <f>I20+M20</f>
        <v>15546824.166666668</v>
      </c>
    </row>
    <row r="21" spans="1:20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1849970000</v>
      </c>
      <c r="F21" s="27"/>
      <c r="G21" s="40"/>
      <c r="H21" s="39">
        <v>42874</v>
      </c>
      <c r="I21" s="40">
        <v>16670000</v>
      </c>
      <c r="J21" s="27"/>
      <c r="K21" s="40">
        <f t="shared" si="4"/>
        <v>1833300000</v>
      </c>
      <c r="L21" s="27"/>
      <c r="M21" s="40">
        <f t="shared" ref="M21:M33" si="7">IF((LEFT(B21,4)="1402"),E21*R21*DATEDIF(DATE(YEAR(Q21),MONTH(Q21)-1,IF(MONTH(C21)=(MONTH(Q21)-1),DAY(C21),16)),Q21,"d")/360,0)</f>
        <v>14414349.583333334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42874</v>
      </c>
      <c r="R21" s="78">
        <v>8.5000000000000006E-2</v>
      </c>
      <c r="S21" s="42" t="s">
        <v>24</v>
      </c>
      <c r="T21" s="37">
        <f t="shared" ref="T21:T33" si="10">I21+M21</f>
        <v>31084349.583333336</v>
      </c>
    </row>
    <row r="22" spans="1:20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1479940000</v>
      </c>
      <c r="F22" s="63"/>
      <c r="G22" s="62"/>
      <c r="H22" s="39">
        <v>42874</v>
      </c>
      <c r="I22" s="62">
        <v>13340000</v>
      </c>
      <c r="J22" s="63"/>
      <c r="K22" s="40">
        <f t="shared" si="4"/>
        <v>1466600000</v>
      </c>
      <c r="L22" s="63"/>
      <c r="M22" s="40">
        <f t="shared" si="7"/>
        <v>11531199.166666668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42874</v>
      </c>
      <c r="R22" s="78">
        <v>8.5000000000000006E-2</v>
      </c>
      <c r="S22" s="42" t="s">
        <v>24</v>
      </c>
      <c r="T22" s="37">
        <f t="shared" si="10"/>
        <v>24871199.166666668</v>
      </c>
    </row>
    <row r="23" spans="1:20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1387500000</v>
      </c>
      <c r="F23" s="63"/>
      <c r="G23" s="62"/>
      <c r="H23" s="39">
        <v>42874</v>
      </c>
      <c r="I23" s="62">
        <v>12500000</v>
      </c>
      <c r="J23" s="63"/>
      <c r="K23" s="40">
        <f t="shared" si="4"/>
        <v>1375000000</v>
      </c>
      <c r="L23" s="63"/>
      <c r="M23" s="40">
        <f t="shared" si="7"/>
        <v>10810937.500000002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42874</v>
      </c>
      <c r="R23" s="78">
        <v>8.5000000000000006E-2</v>
      </c>
      <c r="S23" s="42" t="s">
        <v>24</v>
      </c>
      <c r="T23" s="37">
        <f t="shared" si="10"/>
        <v>23310937.5</v>
      </c>
    </row>
    <row r="24" spans="1:20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925030000</v>
      </c>
      <c r="F24" s="63"/>
      <c r="G24" s="62"/>
      <c r="H24" s="39">
        <v>42874</v>
      </c>
      <c r="I24" s="62">
        <v>8330000</v>
      </c>
      <c r="J24" s="63"/>
      <c r="K24" s="62">
        <f t="shared" si="4"/>
        <v>916700000</v>
      </c>
      <c r="L24" s="63"/>
      <c r="M24" s="40">
        <f t="shared" si="7"/>
        <v>7207525.416666667</v>
      </c>
      <c r="N24" s="63"/>
      <c r="O24" s="27">
        <f t="shared" si="8"/>
        <v>0</v>
      </c>
      <c r="P24" s="27">
        <f t="shared" si="5"/>
        <v>0</v>
      </c>
      <c r="Q24" s="79">
        <f t="shared" si="9"/>
        <v>42874</v>
      </c>
      <c r="R24" s="78">
        <v>8.5000000000000006E-2</v>
      </c>
      <c r="S24" s="42" t="s">
        <v>24</v>
      </c>
      <c r="T24" s="37">
        <f t="shared" si="10"/>
        <v>15537525.416666668</v>
      </c>
    </row>
    <row r="25" spans="1:20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1387500000</v>
      </c>
      <c r="F25" s="63"/>
      <c r="G25" s="62"/>
      <c r="H25" s="39">
        <v>42874</v>
      </c>
      <c r="I25" s="62">
        <v>12500000</v>
      </c>
      <c r="J25" s="63"/>
      <c r="K25" s="62">
        <f t="shared" si="4"/>
        <v>1375000000</v>
      </c>
      <c r="L25" s="63"/>
      <c r="M25" s="40">
        <f t="shared" si="7"/>
        <v>10810937.500000002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42874</v>
      </c>
      <c r="R25" s="78">
        <v>8.5000000000000006E-2</v>
      </c>
      <c r="S25" s="42" t="s">
        <v>24</v>
      </c>
      <c r="T25" s="37">
        <f t="shared" si="10"/>
        <v>23310937.5</v>
      </c>
    </row>
    <row r="26" spans="1:20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1849970000</v>
      </c>
      <c r="F26" s="63"/>
      <c r="G26" s="62"/>
      <c r="H26" s="39">
        <v>42874</v>
      </c>
      <c r="I26" s="62">
        <v>16670000</v>
      </c>
      <c r="J26" s="63"/>
      <c r="K26" s="62">
        <f t="shared" si="4"/>
        <v>1833300000</v>
      </c>
      <c r="L26" s="63"/>
      <c r="M26" s="40">
        <f t="shared" si="7"/>
        <v>14414349.583333334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42874</v>
      </c>
      <c r="R26" s="78">
        <v>8.5000000000000006E-2</v>
      </c>
      <c r="S26" s="42" t="s">
        <v>24</v>
      </c>
      <c r="T26" s="37">
        <f t="shared" si="10"/>
        <v>31084349.583333336</v>
      </c>
    </row>
    <row r="27" spans="1:20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1294970000</v>
      </c>
      <c r="F27" s="63"/>
      <c r="G27" s="62"/>
      <c r="H27" s="39">
        <v>42874</v>
      </c>
      <c r="I27" s="62">
        <v>11670000</v>
      </c>
      <c r="J27" s="63"/>
      <c r="K27" s="62">
        <f t="shared" si="4"/>
        <v>1283300000</v>
      </c>
      <c r="L27" s="63"/>
      <c r="M27" s="40">
        <f t="shared" si="7"/>
        <v>8866947.3611111119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42874</v>
      </c>
      <c r="R27" s="78">
        <v>8.5000000000000006E-2</v>
      </c>
      <c r="S27" s="42" t="s">
        <v>24</v>
      </c>
      <c r="T27" s="37">
        <f t="shared" si="10"/>
        <v>20536947.361111112</v>
      </c>
    </row>
    <row r="28" spans="1:20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1387500000</v>
      </c>
      <c r="F28" s="63"/>
      <c r="G28" s="62"/>
      <c r="H28" s="39">
        <v>42874</v>
      </c>
      <c r="I28" s="62">
        <v>12500000</v>
      </c>
      <c r="J28" s="63"/>
      <c r="K28" s="62">
        <f t="shared" si="4"/>
        <v>1375000000</v>
      </c>
      <c r="L28" s="63"/>
      <c r="M28" s="40">
        <f t="shared" si="7"/>
        <v>10810937.500000002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42874</v>
      </c>
      <c r="R28" s="78">
        <v>8.5000000000000006E-2</v>
      </c>
      <c r="S28" s="42" t="s">
        <v>24</v>
      </c>
      <c r="T28" s="37">
        <f t="shared" si="10"/>
        <v>23310937.5</v>
      </c>
    </row>
    <row r="29" spans="1:20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1387500000</v>
      </c>
      <c r="F29" s="63"/>
      <c r="G29" s="62"/>
      <c r="H29" s="39">
        <v>42874</v>
      </c>
      <c r="I29" s="62">
        <v>12500000</v>
      </c>
      <c r="J29" s="63"/>
      <c r="K29" s="62">
        <f t="shared" si="4"/>
        <v>1375000000</v>
      </c>
      <c r="L29" s="63"/>
      <c r="M29" s="40">
        <f t="shared" si="7"/>
        <v>10810937.500000002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42874</v>
      </c>
      <c r="R29" s="78">
        <v>8.5000000000000006E-2</v>
      </c>
      <c r="S29" s="42" t="s">
        <v>24</v>
      </c>
      <c r="T29" s="37">
        <f t="shared" si="10"/>
        <v>23310937.5</v>
      </c>
    </row>
    <row r="30" spans="1:20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1387500000</v>
      </c>
      <c r="F30" s="63"/>
      <c r="G30" s="62"/>
      <c r="H30" s="39">
        <v>42874</v>
      </c>
      <c r="I30" s="62">
        <v>12500000</v>
      </c>
      <c r="J30" s="63"/>
      <c r="K30" s="62">
        <f t="shared" si="4"/>
        <v>1375000000</v>
      </c>
      <c r="L30" s="63"/>
      <c r="M30" s="40">
        <f t="shared" si="7"/>
        <v>10810937.500000002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42874</v>
      </c>
      <c r="R30" s="78">
        <v>8.5000000000000006E-2</v>
      </c>
      <c r="S30" s="42" t="s">
        <v>24</v>
      </c>
      <c r="T30" s="37">
        <f t="shared" si="10"/>
        <v>23310937.5</v>
      </c>
    </row>
    <row r="31" spans="1:20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1387500000</v>
      </c>
      <c r="F31" s="63"/>
      <c r="G31" s="62"/>
      <c r="H31" s="39">
        <v>42874</v>
      </c>
      <c r="I31" s="62">
        <v>12500000</v>
      </c>
      <c r="J31" s="63"/>
      <c r="K31" s="62">
        <f t="shared" si="4"/>
        <v>1375000000</v>
      </c>
      <c r="L31" s="63"/>
      <c r="M31" s="40">
        <f t="shared" si="7"/>
        <v>10810937.500000002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42874</v>
      </c>
      <c r="R31" s="78">
        <v>8.5000000000000006E-2</v>
      </c>
      <c r="S31" s="42" t="s">
        <v>24</v>
      </c>
      <c r="T31" s="37">
        <f t="shared" si="10"/>
        <v>23310937.5</v>
      </c>
    </row>
    <row r="32" spans="1:20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924950000</v>
      </c>
      <c r="F32" s="63"/>
      <c r="G32" s="62"/>
      <c r="H32" s="39">
        <v>42874</v>
      </c>
      <c r="I32" s="62">
        <v>8330000</v>
      </c>
      <c r="J32" s="63"/>
      <c r="K32" s="62">
        <f t="shared" si="4"/>
        <v>916620000</v>
      </c>
      <c r="L32" s="63"/>
      <c r="M32" s="40">
        <f t="shared" si="7"/>
        <v>7206902.083333333</v>
      </c>
      <c r="N32" s="63"/>
      <c r="O32" s="27">
        <f t="shared" si="8"/>
        <v>0</v>
      </c>
      <c r="P32" s="27">
        <f t="shared" si="5"/>
        <v>0</v>
      </c>
      <c r="Q32" s="79">
        <f t="shared" si="9"/>
        <v>42874</v>
      </c>
      <c r="R32" s="78">
        <v>8.5000000000000006E-2</v>
      </c>
      <c r="S32" s="42" t="s">
        <v>24</v>
      </c>
      <c r="T32" s="37">
        <f t="shared" si="10"/>
        <v>15536902.083333332</v>
      </c>
    </row>
    <row r="33" spans="1:20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924950000</v>
      </c>
      <c r="F33" s="63"/>
      <c r="G33" s="62"/>
      <c r="H33" s="39">
        <v>42874</v>
      </c>
      <c r="I33" s="62">
        <v>8330000</v>
      </c>
      <c r="J33" s="63"/>
      <c r="K33" s="62">
        <f t="shared" si="4"/>
        <v>916620000</v>
      </c>
      <c r="L33" s="63"/>
      <c r="M33" s="40">
        <f t="shared" si="7"/>
        <v>7206902.083333333</v>
      </c>
      <c r="N33" s="63"/>
      <c r="O33" s="27">
        <f t="shared" si="8"/>
        <v>0</v>
      </c>
      <c r="P33" s="27">
        <f t="shared" si="5"/>
        <v>0</v>
      </c>
      <c r="Q33" s="79">
        <f t="shared" si="9"/>
        <v>42874</v>
      </c>
      <c r="R33" s="78">
        <v>8.5000000000000006E-2</v>
      </c>
      <c r="S33" s="42" t="s">
        <v>24</v>
      </c>
      <c r="T33" s="37">
        <f t="shared" si="10"/>
        <v>15536902.083333332</v>
      </c>
    </row>
    <row r="34" spans="1:20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20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20" s="58" customFormat="1" ht="17.25" customHeight="1">
      <c r="A36" s="127" t="s">
        <v>38</v>
      </c>
      <c r="B36" s="127"/>
      <c r="C36" s="55"/>
      <c r="D36" s="55"/>
      <c r="E36" s="30">
        <f>SUM(E20:E35)</f>
        <v>18499720000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18333040000</v>
      </c>
      <c r="L36" s="31">
        <f t="shared" si="11"/>
        <v>87000</v>
      </c>
      <c r="M36" s="30">
        <f t="shared" si="11"/>
        <v>142920624.44444448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20" ht="17.25" customHeight="1">
      <c r="F37" s="68"/>
    </row>
    <row r="38" spans="1:20" ht="17.25" customHeight="1">
      <c r="F38" s="65"/>
      <c r="K38" s="110"/>
    </row>
    <row r="39" spans="1:20" ht="17.25" customHeight="1">
      <c r="F39" s="65"/>
    </row>
    <row r="40" spans="1:20" ht="17.25" customHeight="1">
      <c r="F40" s="65"/>
    </row>
    <row r="42" spans="1:20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I31" sqref="I3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6" t="s">
        <v>6</v>
      </c>
      <c r="I2" s="136"/>
      <c r="J2" s="136"/>
      <c r="K2" s="131" t="s">
        <v>7</v>
      </c>
      <c r="L2" s="131"/>
      <c r="M2" s="134" t="s">
        <v>8</v>
      </c>
      <c r="N2" s="134"/>
      <c r="O2" s="134"/>
      <c r="P2" s="134"/>
      <c r="Q2" s="134"/>
      <c r="R2" s="135" t="s">
        <v>9</v>
      </c>
      <c r="S2" s="128" t="s">
        <v>10</v>
      </c>
    </row>
    <row r="3" spans="1:20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35"/>
      <c r="S3" s="12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916600000</v>
      </c>
      <c r="F20" s="27"/>
      <c r="G20" s="40"/>
      <c r="H20" s="39">
        <v>42935</v>
      </c>
      <c r="I20" s="40">
        <v>8340000</v>
      </c>
      <c r="J20" s="27"/>
      <c r="K20" s="40">
        <f t="shared" ref="K20:K34" si="4">E20-I20</f>
        <v>908260000</v>
      </c>
      <c r="L20" s="27"/>
      <c r="M20" s="40">
        <f>IF((LEFT(B20,4)="1402"),E20*R20*DATEDIF(DATE(YEAR(Q20),MONTH(Q20)-1,IF(MONTH(C20)=(MONTH(Q20)-1),DAY(C20),16)),Q20,"d")/360,0)</f>
        <v>7141841.666666667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42935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1833300000</v>
      </c>
      <c r="F21" s="27"/>
      <c r="G21" s="40"/>
      <c r="H21" s="39">
        <v>42935</v>
      </c>
      <c r="I21" s="40">
        <v>16670000</v>
      </c>
      <c r="J21" s="27"/>
      <c r="K21" s="40">
        <f t="shared" si="4"/>
        <v>1816630000</v>
      </c>
      <c r="L21" s="27"/>
      <c r="M21" s="40">
        <f t="shared" ref="M21:M33" si="7">IF((LEFT(B21,4)="1402"),E21*R21*DATEDIF(DATE(YEAR(Q21),MONTH(Q21)-1,IF(MONTH(C21)=(MONTH(Q21)-1),DAY(C21),16)),Q21,"d")/360,0)</f>
        <v>14284462.5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42935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1466600000</v>
      </c>
      <c r="F22" s="63"/>
      <c r="G22" s="62"/>
      <c r="H22" s="39">
        <v>42935</v>
      </c>
      <c r="I22" s="62">
        <v>13340000</v>
      </c>
      <c r="J22" s="63"/>
      <c r="K22" s="40">
        <f t="shared" si="4"/>
        <v>1453260000</v>
      </c>
      <c r="L22" s="63"/>
      <c r="M22" s="40">
        <f t="shared" si="7"/>
        <v>11427258.333333334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42935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1375000000</v>
      </c>
      <c r="F23" s="63"/>
      <c r="G23" s="62"/>
      <c r="H23" s="39">
        <v>42935</v>
      </c>
      <c r="I23" s="62">
        <v>12500000</v>
      </c>
      <c r="J23" s="63"/>
      <c r="K23" s="40">
        <f t="shared" si="4"/>
        <v>1362500000</v>
      </c>
      <c r="L23" s="63"/>
      <c r="M23" s="40">
        <f t="shared" si="7"/>
        <v>10713541.666666668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42935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916700000</v>
      </c>
      <c r="F24" s="63"/>
      <c r="G24" s="62"/>
      <c r="H24" s="39">
        <v>42935</v>
      </c>
      <c r="I24" s="62">
        <v>8330000</v>
      </c>
      <c r="J24" s="63"/>
      <c r="K24" s="62">
        <f t="shared" si="4"/>
        <v>908370000</v>
      </c>
      <c r="L24" s="63"/>
      <c r="M24" s="40">
        <f t="shared" si="7"/>
        <v>7142620.833333333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42935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1375000000</v>
      </c>
      <c r="F25" s="63"/>
      <c r="G25" s="62"/>
      <c r="H25" s="39">
        <v>42935</v>
      </c>
      <c r="I25" s="62">
        <v>12500000</v>
      </c>
      <c r="J25" s="63"/>
      <c r="K25" s="62">
        <f t="shared" si="4"/>
        <v>1362500000</v>
      </c>
      <c r="L25" s="63"/>
      <c r="M25" s="40">
        <f t="shared" si="7"/>
        <v>10713541.666666668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42935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1833300000</v>
      </c>
      <c r="F26" s="63"/>
      <c r="G26" s="62"/>
      <c r="H26" s="39">
        <v>42935</v>
      </c>
      <c r="I26" s="62">
        <v>16670000</v>
      </c>
      <c r="J26" s="63"/>
      <c r="K26" s="62">
        <f t="shared" si="4"/>
        <v>1816630000</v>
      </c>
      <c r="L26" s="63"/>
      <c r="M26" s="40">
        <f t="shared" si="7"/>
        <v>14284462.5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42935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1283300000</v>
      </c>
      <c r="F27" s="63"/>
      <c r="G27" s="62"/>
      <c r="H27" s="39">
        <v>42935</v>
      </c>
      <c r="I27" s="62">
        <v>11670000</v>
      </c>
      <c r="J27" s="63"/>
      <c r="K27" s="62">
        <f t="shared" si="4"/>
        <v>1271630000</v>
      </c>
      <c r="L27" s="63"/>
      <c r="M27" s="40">
        <f t="shared" si="7"/>
        <v>9999045.833333334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42935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1375000000</v>
      </c>
      <c r="F28" s="63"/>
      <c r="G28" s="62"/>
      <c r="H28" s="39">
        <v>42935</v>
      </c>
      <c r="I28" s="62">
        <v>12500000</v>
      </c>
      <c r="J28" s="63"/>
      <c r="K28" s="62">
        <f t="shared" si="4"/>
        <v>1362500000</v>
      </c>
      <c r="L28" s="63"/>
      <c r="M28" s="40">
        <f t="shared" si="7"/>
        <v>10713541.666666668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42935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1375000000</v>
      </c>
      <c r="F29" s="63"/>
      <c r="G29" s="62"/>
      <c r="H29" s="39">
        <v>42935</v>
      </c>
      <c r="I29" s="62">
        <v>12500000</v>
      </c>
      <c r="J29" s="63"/>
      <c r="K29" s="62">
        <f t="shared" si="4"/>
        <v>1362500000</v>
      </c>
      <c r="L29" s="63"/>
      <c r="M29" s="40">
        <f t="shared" si="7"/>
        <v>12986111.111111114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42935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1375000000</v>
      </c>
      <c r="F30" s="63"/>
      <c r="G30" s="62"/>
      <c r="H30" s="39">
        <v>42935</v>
      </c>
      <c r="I30" s="62">
        <v>12500000</v>
      </c>
      <c r="J30" s="63"/>
      <c r="K30" s="62">
        <f t="shared" si="4"/>
        <v>1362500000</v>
      </c>
      <c r="L30" s="63"/>
      <c r="M30" s="40">
        <f t="shared" si="7"/>
        <v>10713541.666666668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42935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1375000000</v>
      </c>
      <c r="F31" s="63"/>
      <c r="G31" s="62"/>
      <c r="H31" s="39">
        <v>42935</v>
      </c>
      <c r="I31" s="62">
        <v>12500000</v>
      </c>
      <c r="J31" s="63"/>
      <c r="K31" s="62">
        <f t="shared" si="4"/>
        <v>1362500000</v>
      </c>
      <c r="L31" s="63"/>
      <c r="M31" s="40">
        <f t="shared" si="7"/>
        <v>10713541.666666668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42935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916620000</v>
      </c>
      <c r="F32" s="63"/>
      <c r="G32" s="62"/>
      <c r="H32" s="39">
        <v>42935</v>
      </c>
      <c r="I32" s="62">
        <v>8330000</v>
      </c>
      <c r="J32" s="63"/>
      <c r="K32" s="62">
        <f t="shared" si="4"/>
        <v>908290000</v>
      </c>
      <c r="L32" s="63"/>
      <c r="M32" s="40">
        <f t="shared" si="7"/>
        <v>7141997.5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42935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916620000</v>
      </c>
      <c r="F33" s="63"/>
      <c r="G33" s="62"/>
      <c r="H33" s="39">
        <v>42935</v>
      </c>
      <c r="I33" s="62">
        <v>8330000</v>
      </c>
      <c r="J33" s="63"/>
      <c r="K33" s="62">
        <f t="shared" si="4"/>
        <v>908290000</v>
      </c>
      <c r="L33" s="63"/>
      <c r="M33" s="40">
        <f t="shared" si="7"/>
        <v>7141997.5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42935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181.25</v>
      </c>
      <c r="P34" s="27">
        <f t="shared" si="5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18333040000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18166360000</v>
      </c>
      <c r="L36" s="31">
        <f t="shared" si="10"/>
        <v>87000</v>
      </c>
      <c r="M36" s="30">
        <f t="shared" si="10"/>
        <v>145117506.11111113</v>
      </c>
      <c r="N36" s="31">
        <f t="shared" si="10"/>
        <v>0</v>
      </c>
      <c r="O36" s="31">
        <f t="shared" si="10"/>
        <v>181.25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K20" sqref="K20:K33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6" t="s">
        <v>6</v>
      </c>
      <c r="I2" s="136"/>
      <c r="J2" s="136"/>
      <c r="K2" s="131" t="s">
        <v>7</v>
      </c>
      <c r="L2" s="131"/>
      <c r="M2" s="134" t="s">
        <v>8</v>
      </c>
      <c r="N2" s="134"/>
      <c r="O2" s="134"/>
      <c r="P2" s="134"/>
      <c r="Q2" s="134"/>
      <c r="R2" s="135" t="s">
        <v>9</v>
      </c>
      <c r="S2" s="128" t="s">
        <v>10</v>
      </c>
    </row>
    <row r="3" spans="1:20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8" t="s">
        <v>13</v>
      </c>
      <c r="J3" s="118" t="s">
        <v>15</v>
      </c>
      <c r="K3" s="115" t="s">
        <v>13</v>
      </c>
      <c r="L3" s="15" t="s">
        <v>15</v>
      </c>
      <c r="M3" s="116" t="s">
        <v>16</v>
      </c>
      <c r="N3" s="116" t="s">
        <v>17</v>
      </c>
      <c r="O3" s="17" t="s">
        <v>18</v>
      </c>
      <c r="P3" s="117" t="s">
        <v>48</v>
      </c>
      <c r="Q3" s="117" t="s">
        <v>19</v>
      </c>
      <c r="R3" s="135"/>
      <c r="S3" s="12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908260000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899920000</v>
      </c>
      <c r="L20" s="27"/>
      <c r="M20" s="40">
        <f>IF((LEFT(B20,4)="1402"),E20*R20*DATEDIF(DATE(YEAR(Q20),MONTH(Q20)-1,IF(MONTH(C20)=(MONTH(Q20)-1),DAY(C20),16)),Q20,"d")/360,0)</f>
        <v>7291309.444444444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1816630000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1799960000</v>
      </c>
      <c r="L21" s="27"/>
      <c r="M21" s="40">
        <f t="shared" ref="M21:M33" si="7">IF((LEFT(B21,4)="1402"),E21*R21*DATEDIF(DATE(YEAR(Q21),MONTH(Q21)-1,IF(MONTH(C21)=(MONTH(Q21)-1),DAY(C21),16)),Q21,"d")/360,0)</f>
        <v>14583501.944444444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1453260000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1439920000</v>
      </c>
      <c r="L22" s="63"/>
      <c r="M22" s="40">
        <f t="shared" si="7"/>
        <v>11666448.333333334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1362500000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1350000000</v>
      </c>
      <c r="L23" s="63"/>
      <c r="M23" s="40">
        <f t="shared" si="7"/>
        <v>10937847.222222224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908370000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900040000</v>
      </c>
      <c r="L24" s="63"/>
      <c r="M24" s="40">
        <f t="shared" si="7"/>
        <v>7292192.5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1362500000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1350000000</v>
      </c>
      <c r="L25" s="63"/>
      <c r="M25" s="40">
        <f t="shared" si="7"/>
        <v>10937847.222222224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1816630000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1799960000</v>
      </c>
      <c r="L26" s="63"/>
      <c r="M26" s="40">
        <f t="shared" si="7"/>
        <v>14583501.944444444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1271630000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1259960000</v>
      </c>
      <c r="L27" s="63"/>
      <c r="M27" s="40">
        <f t="shared" si="7"/>
        <v>10208363.055555556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1362500000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1350000000</v>
      </c>
      <c r="L28" s="63"/>
      <c r="M28" s="40">
        <f t="shared" si="7"/>
        <v>10937847.222222224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1362500000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1350000000</v>
      </c>
      <c r="L29" s="63"/>
      <c r="M29" s="40">
        <f t="shared" si="7"/>
        <v>10937847.222222224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1362500000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1350000000</v>
      </c>
      <c r="L30" s="63"/>
      <c r="M30" s="40">
        <f t="shared" si="7"/>
        <v>15441666.66666667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1362500000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1350000000</v>
      </c>
      <c r="L31" s="63"/>
      <c r="M31" s="40">
        <f t="shared" si="7"/>
        <v>12868055.555555558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908290000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899960000</v>
      </c>
      <c r="L32" s="63"/>
      <c r="M32" s="40">
        <f t="shared" si="7"/>
        <v>4289147.222222222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908290000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899960000</v>
      </c>
      <c r="L33" s="63"/>
      <c r="M33" s="40">
        <f t="shared" si="7"/>
        <v>7291550.277777778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18166360000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17999680000</v>
      </c>
      <c r="L36" s="31">
        <f t="shared" si="10"/>
        <v>87000</v>
      </c>
      <c r="M36" s="30">
        <f t="shared" si="10"/>
        <v>149267125.83333334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A18" sqref="A18:XFD20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6" t="s">
        <v>6</v>
      </c>
      <c r="I2" s="136"/>
      <c r="J2" s="136"/>
      <c r="K2" s="131" t="s">
        <v>7</v>
      </c>
      <c r="L2" s="131"/>
      <c r="M2" s="134" t="s">
        <v>8</v>
      </c>
      <c r="N2" s="134"/>
      <c r="O2" s="134"/>
      <c r="P2" s="134"/>
      <c r="Q2" s="134"/>
      <c r="R2" s="135" t="s">
        <v>9</v>
      </c>
      <c r="S2" s="128" t="s">
        <v>10</v>
      </c>
    </row>
    <row r="3" spans="1:20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22" t="s">
        <v>13</v>
      </c>
      <c r="J3" s="122" t="s">
        <v>15</v>
      </c>
      <c r="K3" s="119" t="s">
        <v>13</v>
      </c>
      <c r="L3" s="15" t="s">
        <v>15</v>
      </c>
      <c r="M3" s="120" t="s">
        <v>16</v>
      </c>
      <c r="N3" s="120" t="s">
        <v>17</v>
      </c>
      <c r="O3" s="17" t="s">
        <v>18</v>
      </c>
      <c r="P3" s="121" t="s">
        <v>48</v>
      </c>
      <c r="Q3" s="121" t="s">
        <v>19</v>
      </c>
      <c r="R3" s="135"/>
      <c r="S3" s="12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899920000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891580000</v>
      </c>
      <c r="L20" s="27"/>
      <c r="M20" s="40">
        <f>IF((LEFT(B20,4)="1402"),E20*R20*DATEDIF(DATE(YEAR(Q20),MONTH(Q20)-1,IF(MONTH(C20)=(MONTH(Q20)-1),DAY(C20),16)),Q20,"d")/360,0)</f>
        <v>7224357.777777778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1799960000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1783290000</v>
      </c>
      <c r="L21" s="27"/>
      <c r="M21" s="40">
        <f t="shared" ref="M21:M33" si="7">IF((LEFT(B21,4)="1402"),E21*R21*DATEDIF(DATE(YEAR(Q21),MONTH(Q21)-1,IF(MONTH(C21)=(MONTH(Q21)-1),DAY(C21),16)),Q21,"d")/360,0)</f>
        <v>14449678.888888888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1439920000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1426580000</v>
      </c>
      <c r="L22" s="63"/>
      <c r="M22" s="40">
        <f t="shared" si="7"/>
        <v>11559357.77777778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1350000000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1337500000</v>
      </c>
      <c r="L23" s="63"/>
      <c r="M23" s="40">
        <f t="shared" si="7"/>
        <v>10837500.000000002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900040000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891710000</v>
      </c>
      <c r="L24" s="63"/>
      <c r="M24" s="40">
        <f t="shared" si="7"/>
        <v>7225321.111111111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1350000000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1337500000</v>
      </c>
      <c r="L25" s="63"/>
      <c r="M25" s="40">
        <f t="shared" si="7"/>
        <v>10837500.000000002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1799960000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1783290000</v>
      </c>
      <c r="L26" s="63"/>
      <c r="M26" s="40">
        <f t="shared" si="7"/>
        <v>14449678.888888888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1259960000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1248290000</v>
      </c>
      <c r="L27" s="63"/>
      <c r="M27" s="40">
        <f t="shared" si="7"/>
        <v>10114678.88888889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1337500000</v>
      </c>
      <c r="L28" s="63"/>
      <c r="M28" s="40">
        <f t="shared" si="7"/>
        <v>10837500.000000002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1350000000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1337500000</v>
      </c>
      <c r="L29" s="63"/>
      <c r="M29" s="40">
        <f t="shared" si="7"/>
        <v>10837500.000000002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1350000000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1337500000</v>
      </c>
      <c r="L30" s="63"/>
      <c r="M30" s="40">
        <f t="shared" si="7"/>
        <v>15300000.000000002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1337500000</v>
      </c>
      <c r="L31" s="63"/>
      <c r="M31" s="40">
        <f t="shared" si="7"/>
        <v>12750000.000000002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899960000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891630000</v>
      </c>
      <c r="L32" s="63"/>
      <c r="M32" s="40">
        <f t="shared" si="7"/>
        <v>4249811.111111111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899960000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891630000</v>
      </c>
      <c r="L33" s="63"/>
      <c r="M33" s="40">
        <f t="shared" si="7"/>
        <v>7224678.888888889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17999680000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17833000000</v>
      </c>
      <c r="L36" s="31">
        <f t="shared" si="10"/>
        <v>87000</v>
      </c>
      <c r="M36" s="30">
        <f t="shared" si="10"/>
        <v>147897563.33333334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tabSelected="1"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R19" sqref="R19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8" t="s">
        <v>2</v>
      </c>
      <c r="B2" s="128" t="s">
        <v>3</v>
      </c>
      <c r="C2" s="129" t="s">
        <v>4</v>
      </c>
      <c r="D2" s="129"/>
      <c r="E2" s="130" t="s">
        <v>5</v>
      </c>
      <c r="F2" s="130"/>
      <c r="G2" s="130"/>
      <c r="H2" s="136" t="s">
        <v>6</v>
      </c>
      <c r="I2" s="136"/>
      <c r="J2" s="136"/>
      <c r="K2" s="131" t="s">
        <v>7</v>
      </c>
      <c r="L2" s="131"/>
      <c r="M2" s="134" t="s">
        <v>8</v>
      </c>
      <c r="N2" s="134"/>
      <c r="O2" s="134"/>
      <c r="P2" s="134"/>
      <c r="Q2" s="134"/>
      <c r="R2" s="135" t="s">
        <v>9</v>
      </c>
      <c r="S2" s="128" t="s">
        <v>10</v>
      </c>
    </row>
    <row r="3" spans="1:20" s="12" customFormat="1" ht="33" customHeight="1">
      <c r="A3" s="128"/>
      <c r="B3" s="12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26" t="s">
        <v>13</v>
      </c>
      <c r="J3" s="126" t="s">
        <v>15</v>
      </c>
      <c r="K3" s="123" t="s">
        <v>13</v>
      </c>
      <c r="L3" s="15" t="s">
        <v>15</v>
      </c>
      <c r="M3" s="124" t="s">
        <v>16</v>
      </c>
      <c r="N3" s="124" t="s">
        <v>17</v>
      </c>
      <c r="O3" s="17" t="s">
        <v>18</v>
      </c>
      <c r="P3" s="125" t="s">
        <v>48</v>
      </c>
      <c r="Q3" s="125" t="s">
        <v>19</v>
      </c>
      <c r="R3" s="135"/>
      <c r="S3" s="128"/>
    </row>
    <row r="4" spans="1:20" s="22" customFormat="1" ht="17.25" customHeight="1">
      <c r="A4" s="35">
        <f t="shared" ref="A4:A20" si="0">ROW()-3</f>
        <v>1</v>
      </c>
      <c r="B4" s="23" t="s">
        <v>83</v>
      </c>
      <c r="C4" s="24"/>
      <c r="D4" s="24"/>
      <c r="E4" s="26"/>
      <c r="F4" s="25">
        <v>183000</v>
      </c>
      <c r="G4" s="26"/>
      <c r="H4" s="24"/>
      <c r="I4" s="25"/>
      <c r="J4" s="25"/>
      <c r="K4" s="21"/>
      <c r="L4" s="20">
        <f t="shared" ref="L4:L20" si="1">F4-J4</f>
        <v>183000</v>
      </c>
      <c r="M4" s="25"/>
      <c r="N4" s="25"/>
      <c r="O4" s="27">
        <f t="shared" ref="O4:O20" si="2">IF((LEFT(B4,4)="1402"),F4*R4*DATEDIF(DATE(YEAR(Q4),MONTH(Q4)-1,IF(MONTH(C4)=(MONTH(Q4)-1),DAY(C4),16)),Q4,"d")/360,0)</f>
        <v>0</v>
      </c>
      <c r="P4" s="27">
        <f>IF((LEFT(B4,4)="ld17"),F4*R4*DATEDIF(DATE(YEAR(Q4),MONTH(Q4)-1,DAY(Q4)),Q4,"d")/360,0)</f>
        <v>571.875</v>
      </c>
      <c r="Q4" s="19">
        <v>43030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84</v>
      </c>
      <c r="C5" s="24"/>
      <c r="D5" s="24"/>
      <c r="E5" s="26"/>
      <c r="F5" s="25">
        <v>40000</v>
      </c>
      <c r="G5" s="26"/>
      <c r="H5" s="24"/>
      <c r="I5" s="25"/>
      <c r="J5" s="25"/>
      <c r="K5" s="21"/>
      <c r="L5" s="20">
        <f t="shared" si="1"/>
        <v>40000</v>
      </c>
      <c r="M5" s="25"/>
      <c r="N5" s="25"/>
      <c r="O5" s="27">
        <f t="shared" si="2"/>
        <v>0</v>
      </c>
      <c r="P5" s="27">
        <f t="shared" ref="P4:P20" si="3">IF((LEFT(B5,4)="ld17"),F5*R5*DATEDIF(DATE(YEAR(Q5),MONTH(Q5)-1,DAY(Q5)),Q5,"d")/360,0)</f>
        <v>125</v>
      </c>
      <c r="Q5" s="19">
        <v>43030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85</v>
      </c>
      <c r="C6" s="24"/>
      <c r="D6" s="24"/>
      <c r="E6" s="26"/>
      <c r="F6" s="25">
        <v>110000</v>
      </c>
      <c r="G6" s="26"/>
      <c r="H6" s="24"/>
      <c r="I6" s="25"/>
      <c r="J6" s="25"/>
      <c r="K6" s="20"/>
      <c r="L6" s="20">
        <f t="shared" si="1"/>
        <v>110000</v>
      </c>
      <c r="M6" s="25"/>
      <c r="N6" s="25"/>
      <c r="O6" s="27">
        <f t="shared" si="2"/>
        <v>0</v>
      </c>
      <c r="P6" s="27">
        <f t="shared" si="3"/>
        <v>343.75</v>
      </c>
      <c r="Q6" s="19">
        <v>43030</v>
      </c>
      <c r="R6" s="109">
        <v>3.7499999999999999E-2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86</v>
      </c>
      <c r="C7" s="24"/>
      <c r="D7" s="24"/>
      <c r="E7" s="26"/>
      <c r="F7" s="25">
        <v>40000</v>
      </c>
      <c r="G7" s="26"/>
      <c r="H7" s="24"/>
      <c r="I7" s="25"/>
      <c r="J7" s="25"/>
      <c r="K7" s="20"/>
      <c r="L7" s="20">
        <f t="shared" si="1"/>
        <v>40000</v>
      </c>
      <c r="M7" s="25"/>
      <c r="N7" s="25"/>
      <c r="O7" s="27">
        <f t="shared" si="2"/>
        <v>0</v>
      </c>
      <c r="P7" s="27">
        <f t="shared" si="3"/>
        <v>125</v>
      </c>
      <c r="Q7" s="19">
        <v>43030</v>
      </c>
      <c r="R7" s="109">
        <v>3.7499999999999999E-2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87</v>
      </c>
      <c r="C8" s="24"/>
      <c r="D8" s="24"/>
      <c r="E8" s="26"/>
      <c r="F8" s="25">
        <v>82000</v>
      </c>
      <c r="G8" s="26"/>
      <c r="H8" s="24"/>
      <c r="I8" s="25"/>
      <c r="J8" s="25"/>
      <c r="K8" s="20"/>
      <c r="L8" s="20">
        <f t="shared" si="1"/>
        <v>82000</v>
      </c>
      <c r="M8" s="25"/>
      <c r="N8" s="25"/>
      <c r="O8" s="27">
        <f t="shared" si="2"/>
        <v>0</v>
      </c>
      <c r="P8" s="27">
        <f t="shared" si="3"/>
        <v>256.25</v>
      </c>
      <c r="Q8" s="19">
        <v>43030</v>
      </c>
      <c r="R8" s="109">
        <v>3.7499999999999999E-2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89</v>
      </c>
      <c r="C9" s="24"/>
      <c r="D9" s="24"/>
      <c r="E9" s="26"/>
      <c r="F9" s="25">
        <v>89000</v>
      </c>
      <c r="G9" s="26"/>
      <c r="H9" s="24"/>
      <c r="I9" s="25"/>
      <c r="J9" s="25"/>
      <c r="K9" s="20"/>
      <c r="L9" s="20">
        <f t="shared" si="1"/>
        <v>89000</v>
      </c>
      <c r="M9" s="25"/>
      <c r="N9" s="25"/>
      <c r="O9" s="27">
        <f t="shared" si="2"/>
        <v>0</v>
      </c>
      <c r="P9" s="27">
        <f t="shared" si="3"/>
        <v>278.125</v>
      </c>
      <c r="Q9" s="19">
        <v>43030</v>
      </c>
      <c r="R9" s="109">
        <v>3.7499999999999999E-2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91</v>
      </c>
      <c r="C10" s="24"/>
      <c r="D10" s="24"/>
      <c r="E10" s="26"/>
      <c r="F10" s="53">
        <v>70000</v>
      </c>
      <c r="G10" s="26"/>
      <c r="H10" s="52"/>
      <c r="I10" s="53"/>
      <c r="J10" s="53"/>
      <c r="K10" s="21"/>
      <c r="L10" s="20">
        <f t="shared" si="1"/>
        <v>70000</v>
      </c>
      <c r="M10" s="53"/>
      <c r="N10" s="53"/>
      <c r="O10" s="27">
        <f t="shared" si="2"/>
        <v>0</v>
      </c>
      <c r="P10" s="27">
        <f t="shared" si="3"/>
        <v>218.75</v>
      </c>
      <c r="Q10" s="19">
        <v>43030</v>
      </c>
      <c r="R10" s="109">
        <v>3.7499999999999999E-2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101</v>
      </c>
      <c r="C11" s="24"/>
      <c r="D11" s="24"/>
      <c r="E11" s="54"/>
      <c r="F11" s="53">
        <v>67000</v>
      </c>
      <c r="G11" s="26"/>
      <c r="H11" s="52"/>
      <c r="I11" s="53"/>
      <c r="J11" s="53"/>
      <c r="K11" s="20"/>
      <c r="L11" s="20">
        <f t="shared" si="1"/>
        <v>67000</v>
      </c>
      <c r="M11" s="53"/>
      <c r="N11" s="53"/>
      <c r="O11" s="27">
        <f t="shared" si="2"/>
        <v>0</v>
      </c>
      <c r="P11" s="27">
        <f t="shared" si="3"/>
        <v>209.375</v>
      </c>
      <c r="Q11" s="19">
        <v>43030</v>
      </c>
      <c r="R11" s="109">
        <v>3.7499999999999999E-2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92</v>
      </c>
      <c r="C12" s="52"/>
      <c r="D12" s="24"/>
      <c r="E12" s="54"/>
      <c r="F12" s="53">
        <v>32420</v>
      </c>
      <c r="G12" s="26"/>
      <c r="H12" s="52"/>
      <c r="I12" s="53"/>
      <c r="J12" s="53"/>
      <c r="K12" s="21"/>
      <c r="L12" s="20">
        <f t="shared" si="1"/>
        <v>32420</v>
      </c>
      <c r="M12" s="53"/>
      <c r="N12" s="54">
        <f>P12*G12</f>
        <v>0</v>
      </c>
      <c r="O12" s="27">
        <f t="shared" si="2"/>
        <v>0</v>
      </c>
      <c r="P12" s="27">
        <f t="shared" si="3"/>
        <v>101.3125</v>
      </c>
      <c r="Q12" s="19">
        <v>43030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93</v>
      </c>
      <c r="C13" s="52"/>
      <c r="D13" s="24"/>
      <c r="E13" s="54"/>
      <c r="F13" s="53">
        <v>84000</v>
      </c>
      <c r="G13" s="54"/>
      <c r="H13" s="52"/>
      <c r="I13" s="53"/>
      <c r="J13" s="53"/>
      <c r="K13" s="21"/>
      <c r="L13" s="20">
        <f t="shared" si="1"/>
        <v>84000</v>
      </c>
      <c r="M13" s="53"/>
      <c r="N13" s="54"/>
      <c r="O13" s="27">
        <f t="shared" si="2"/>
        <v>0</v>
      </c>
      <c r="P13" s="27">
        <f t="shared" si="3"/>
        <v>262.5</v>
      </c>
      <c r="Q13" s="19">
        <v>43030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94</v>
      </c>
      <c r="C14" s="52"/>
      <c r="D14" s="24"/>
      <c r="E14" s="54"/>
      <c r="F14" s="53">
        <v>92500</v>
      </c>
      <c r="G14" s="54"/>
      <c r="H14" s="52"/>
      <c r="I14" s="53"/>
      <c r="J14" s="53"/>
      <c r="K14" s="21"/>
      <c r="L14" s="20">
        <f t="shared" si="1"/>
        <v>92500</v>
      </c>
      <c r="M14" s="53"/>
      <c r="N14" s="54"/>
      <c r="O14" s="27">
        <f t="shared" si="2"/>
        <v>0</v>
      </c>
      <c r="P14" s="27">
        <f t="shared" si="3"/>
        <v>289.0625</v>
      </c>
      <c r="Q14" s="19">
        <v>43030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95</v>
      </c>
      <c r="C15" s="52"/>
      <c r="D15" s="24"/>
      <c r="E15" s="54"/>
      <c r="F15" s="53">
        <v>63000</v>
      </c>
      <c r="G15" s="54"/>
      <c r="H15" s="52"/>
      <c r="I15" s="53"/>
      <c r="J15" s="53"/>
      <c r="K15" s="21"/>
      <c r="L15" s="20">
        <f t="shared" ref="L15:L17" si="4">F15-J15</f>
        <v>63000</v>
      </c>
      <c r="M15" s="53"/>
      <c r="N15" s="54"/>
      <c r="O15" s="27">
        <f t="shared" ref="O15:O17" si="5">IF((LEFT(B15,4)="1402"),F15*R15*DATEDIF(DATE(YEAR(Q15),MONTH(Q15)-1,IF(MONTH(C15)=(MONTH(Q15)-1),DAY(C15),16)),Q15,"d")/360,0)</f>
        <v>0</v>
      </c>
      <c r="P15" s="27">
        <f t="shared" ref="P15:P17" si="6">IF((LEFT(B15,4)="ld17"),F15*R15*DATEDIF(DATE(YEAR(Q15),MONTH(Q15)-1,DAY(Q15)),Q15,"d")/360,0)</f>
        <v>196.875</v>
      </c>
      <c r="Q15" s="19">
        <v>43030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96</v>
      </c>
      <c r="C16" s="52"/>
      <c r="D16" s="24"/>
      <c r="E16" s="54"/>
      <c r="F16" s="53">
        <v>83500</v>
      </c>
      <c r="G16" s="54"/>
      <c r="H16" s="52"/>
      <c r="I16" s="53"/>
      <c r="J16" s="53"/>
      <c r="K16" s="21"/>
      <c r="L16" s="20">
        <f t="shared" si="4"/>
        <v>83500</v>
      </c>
      <c r="M16" s="53"/>
      <c r="N16" s="54"/>
      <c r="O16" s="27">
        <f t="shared" si="5"/>
        <v>0</v>
      </c>
      <c r="P16" s="27">
        <f t="shared" si="6"/>
        <v>260.9375</v>
      </c>
      <c r="Q16" s="19">
        <v>43030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97</v>
      </c>
      <c r="C17" s="52"/>
      <c r="D17" s="24"/>
      <c r="E17" s="54"/>
      <c r="F17" s="53">
        <v>87500</v>
      </c>
      <c r="G17" s="54"/>
      <c r="H17" s="52"/>
      <c r="I17" s="53"/>
      <c r="J17" s="53"/>
      <c r="K17" s="21"/>
      <c r="L17" s="20">
        <f t="shared" si="4"/>
        <v>87500</v>
      </c>
      <c r="M17" s="53"/>
      <c r="N17" s="54"/>
      <c r="O17" s="27">
        <f t="shared" si="5"/>
        <v>0</v>
      </c>
      <c r="P17" s="27">
        <f t="shared" si="6"/>
        <v>273.4375</v>
      </c>
      <c r="Q17" s="19">
        <v>43030</v>
      </c>
      <c r="R17" s="109">
        <v>3.7499999999999999E-2</v>
      </c>
      <c r="S17" s="42"/>
    </row>
    <row r="18" spans="1:19" s="22" customFormat="1" ht="17.25" customHeight="1">
      <c r="A18" s="35">
        <f t="shared" si="0"/>
        <v>15</v>
      </c>
      <c r="B18" s="23" t="s">
        <v>98</v>
      </c>
      <c r="C18" s="52"/>
      <c r="D18" s="24"/>
      <c r="E18" s="54"/>
      <c r="F18" s="53">
        <v>95900</v>
      </c>
      <c r="G18" s="54"/>
      <c r="H18" s="52"/>
      <c r="I18" s="53"/>
      <c r="J18" s="53"/>
      <c r="K18" s="21"/>
      <c r="L18" s="20">
        <f t="shared" si="1"/>
        <v>95900</v>
      </c>
      <c r="M18" s="53"/>
      <c r="N18" s="54"/>
      <c r="O18" s="27">
        <f t="shared" si="2"/>
        <v>0</v>
      </c>
      <c r="P18" s="27">
        <f t="shared" si="3"/>
        <v>299.6875</v>
      </c>
      <c r="Q18" s="19">
        <v>43030</v>
      </c>
      <c r="R18" s="109">
        <v>3.7499999999999999E-2</v>
      </c>
      <c r="S18" s="42" t="s">
        <v>52</v>
      </c>
    </row>
    <row r="19" spans="1:19" s="22" customFormat="1" ht="17.25" customHeight="1">
      <c r="A19" s="35">
        <f t="shared" si="0"/>
        <v>16</v>
      </c>
      <c r="B19" s="23" t="s">
        <v>99</v>
      </c>
      <c r="C19" s="52"/>
      <c r="D19" s="24"/>
      <c r="E19" s="54"/>
      <c r="F19" s="53">
        <v>89600</v>
      </c>
      <c r="G19" s="54"/>
      <c r="H19" s="52"/>
      <c r="I19" s="53"/>
      <c r="J19" s="53"/>
      <c r="K19" s="21"/>
      <c r="L19" s="20">
        <f t="shared" ref="L19" si="7">F19-J19</f>
        <v>89600</v>
      </c>
      <c r="M19" s="53"/>
      <c r="N19" s="54"/>
      <c r="O19" s="27">
        <f t="shared" ref="O19" si="8">IF((LEFT(B19,4)="1402"),F19*R19*DATEDIF(DATE(YEAR(Q19),MONTH(Q19)-1,IF(MONTH(C19)=(MONTH(Q19)-1),DAY(C19),16)),Q19,"d")/360,0)</f>
        <v>0</v>
      </c>
      <c r="P19" s="27">
        <f t="shared" ref="P19" si="9">IF((LEFT(B19,4)="ld17"),F19*R19*DATEDIF(DATE(YEAR(Q19),MONTH(Q19)-1,DAY(Q19)),Q19,"d")/360,0)</f>
        <v>280</v>
      </c>
      <c r="Q19" s="19">
        <v>43030</v>
      </c>
      <c r="R19" s="109">
        <v>3.7499999999999999E-2</v>
      </c>
      <c r="S19" s="42" t="s">
        <v>52</v>
      </c>
    </row>
    <row r="20" spans="1:19" s="22" customFormat="1" ht="17.25" customHeight="1">
      <c r="A20" s="35">
        <f t="shared" si="0"/>
        <v>17</v>
      </c>
      <c r="B20" s="23" t="s">
        <v>100</v>
      </c>
      <c r="C20" s="52"/>
      <c r="D20" s="24"/>
      <c r="E20" s="54"/>
      <c r="F20" s="53">
        <v>89600</v>
      </c>
      <c r="G20" s="54"/>
      <c r="H20" s="52"/>
      <c r="I20" s="53"/>
      <c r="J20" s="53"/>
      <c r="K20" s="21"/>
      <c r="L20" s="20">
        <v>36600</v>
      </c>
      <c r="M20" s="53"/>
      <c r="N20" s="54"/>
      <c r="O20" s="27">
        <f t="shared" si="2"/>
        <v>0</v>
      </c>
      <c r="P20" s="27">
        <f t="shared" si="3"/>
        <v>280</v>
      </c>
      <c r="Q20" s="19">
        <v>43030</v>
      </c>
      <c r="R20" s="109">
        <v>3.7499999999999999E-2</v>
      </c>
      <c r="S20" s="42" t="s">
        <v>52</v>
      </c>
    </row>
    <row r="21" spans="1:19" s="22" customFormat="1" ht="17.25" customHeight="1">
      <c r="A21" s="35"/>
      <c r="B21" s="23"/>
      <c r="C21" s="52"/>
      <c r="D21" s="24"/>
      <c r="E21" s="53"/>
      <c r="F21" s="53"/>
      <c r="G21" s="54"/>
      <c r="H21" s="52"/>
      <c r="I21" s="53"/>
      <c r="J21" s="53"/>
      <c r="K21" s="20"/>
      <c r="L21" s="20"/>
      <c r="M21" s="53"/>
      <c r="N21" s="53"/>
      <c r="O21" s="25"/>
      <c r="P21" s="25"/>
      <c r="Q21" s="19"/>
      <c r="R21" s="77"/>
      <c r="S21" s="42"/>
    </row>
    <row r="22" spans="1:19" s="58" customFormat="1" ht="17.25" customHeight="1">
      <c r="A22" s="127" t="s">
        <v>46</v>
      </c>
      <c r="B22" s="127"/>
      <c r="C22" s="55"/>
      <c r="D22" s="55"/>
      <c r="E22" s="30">
        <f>SUM(E4:E21)</f>
        <v>0</v>
      </c>
      <c r="F22" s="31">
        <f>SUM(F4:F21)</f>
        <v>1399020</v>
      </c>
      <c r="G22" s="30">
        <f>SUM(G4:G9)</f>
        <v>0</v>
      </c>
      <c r="H22" s="29"/>
      <c r="I22" s="31">
        <f>SUM(I4:I21)</f>
        <v>0</v>
      </c>
      <c r="J22" s="31">
        <f>SUM(J4:J21)</f>
        <v>0</v>
      </c>
      <c r="K22" s="31">
        <f>SUM(K4:K21)</f>
        <v>0</v>
      </c>
      <c r="L22" s="31">
        <f>SUM(L4:L21)</f>
        <v>1346020</v>
      </c>
      <c r="M22" s="31">
        <f>SUM(M4:M8)</f>
        <v>0</v>
      </c>
      <c r="N22" s="31"/>
      <c r="O22" s="31">
        <f>SUM(O4:O21)</f>
        <v>0</v>
      </c>
      <c r="P22" s="31">
        <f>SUM(P4:P21)</f>
        <v>4371.9375</v>
      </c>
      <c r="Q22" s="56"/>
      <c r="R22" s="57"/>
      <c r="S22" s="33"/>
    </row>
    <row r="23" spans="1:19" s="37" customFormat="1" ht="17.25" customHeight="1">
      <c r="A23" s="35">
        <f>ROW()-19</f>
        <v>4</v>
      </c>
      <c r="B23" s="38" t="s">
        <v>23</v>
      </c>
      <c r="C23" s="39">
        <v>41870</v>
      </c>
      <c r="D23" s="39">
        <v>46253</v>
      </c>
      <c r="E23" s="40">
        <v>899920000</v>
      </c>
      <c r="F23" s="27"/>
      <c r="G23" s="40"/>
      <c r="H23" s="39">
        <v>42966</v>
      </c>
      <c r="I23" s="40">
        <v>8340000</v>
      </c>
      <c r="J23" s="27"/>
      <c r="K23" s="40">
        <f t="shared" ref="K23:K37" si="10">E23-I23</f>
        <v>891580000</v>
      </c>
      <c r="L23" s="27"/>
      <c r="M23" s="40">
        <f>IF((LEFT(B23,4)="1402"),E23*R23*DATEDIF(DATE(YEAR(Q23),MONTH(Q23)-1,IF(MONTH(C23)=(MONTH(Q23)-1),DAY(C23),16)),Q23,"d")/360,0)</f>
        <v>7224357.777777778</v>
      </c>
      <c r="N23" s="27"/>
      <c r="O23" s="27">
        <f>IF((LEFT(B23,4)="1402"),F23*R23*DATEDIF(DATE(YEAR(Q23),MONTH(Q23)-1,IF(MONTH(C23)=(MONTH(Q23)-1),DAY(C23),16)),Q23,"d")/360,0)</f>
        <v>0</v>
      </c>
      <c r="P23" s="27">
        <f t="shared" ref="P23:P37" si="11">IF((LEFT(B23,4)="1015"),F23*R23*DATEDIF(Q23,Q$1,"d")/360,0)</f>
        <v>0</v>
      </c>
      <c r="Q23" s="79">
        <f>H23</f>
        <v>42966</v>
      </c>
      <c r="R23" s="78">
        <v>8.5000000000000006E-2</v>
      </c>
      <c r="S23" s="60" t="s">
        <v>24</v>
      </c>
    </row>
    <row r="24" spans="1:19" s="37" customFormat="1" ht="17.25" customHeight="1">
      <c r="A24" s="35">
        <f t="shared" ref="A24:A37" si="12">ROW()-19</f>
        <v>5</v>
      </c>
      <c r="B24" s="38" t="s">
        <v>25</v>
      </c>
      <c r="C24" s="39">
        <v>41905</v>
      </c>
      <c r="D24" s="39">
        <v>46253</v>
      </c>
      <c r="E24" s="40">
        <v>1799960000</v>
      </c>
      <c r="F24" s="27"/>
      <c r="G24" s="40"/>
      <c r="H24" s="39">
        <v>42966</v>
      </c>
      <c r="I24" s="40">
        <v>16670000</v>
      </c>
      <c r="J24" s="27"/>
      <c r="K24" s="40">
        <f t="shared" si="10"/>
        <v>1783290000</v>
      </c>
      <c r="L24" s="27"/>
      <c r="M24" s="40">
        <f t="shared" ref="M24:M36" si="13">IF((LEFT(B24,4)="1402"),E24*R24*DATEDIF(DATE(YEAR(Q24),MONTH(Q24)-1,IF(MONTH(C24)=(MONTH(Q24)-1),DAY(C24),16)),Q24,"d")/360,0)</f>
        <v>14449678.888888888</v>
      </c>
      <c r="N24" s="27"/>
      <c r="O24" s="27">
        <f t="shared" ref="O24:O37" si="14">IF((LEFT(B24,4)="1402"),F24*R24*DATEDIF(DATE(YEAR(Q24),MONTH(Q24)-1,IF(MONTH(C24)=(MONTH(Q24)-1),DAY(C24),16)),Q24,"d")/360,0)</f>
        <v>0</v>
      </c>
      <c r="P24" s="27">
        <f t="shared" si="11"/>
        <v>0</v>
      </c>
      <c r="Q24" s="79">
        <f t="shared" ref="Q24:Q36" si="15">H24</f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12"/>
        <v>6</v>
      </c>
      <c r="B25" s="38" t="s">
        <v>26</v>
      </c>
      <c r="C25" s="61">
        <v>41934</v>
      </c>
      <c r="D25" s="39">
        <v>46253</v>
      </c>
      <c r="E25" s="40">
        <v>1439920000</v>
      </c>
      <c r="F25" s="63"/>
      <c r="G25" s="62"/>
      <c r="H25" s="39">
        <v>42966</v>
      </c>
      <c r="I25" s="62">
        <v>13340000</v>
      </c>
      <c r="J25" s="63"/>
      <c r="K25" s="40">
        <f t="shared" si="10"/>
        <v>1426580000</v>
      </c>
      <c r="L25" s="63"/>
      <c r="M25" s="40">
        <f t="shared" si="13"/>
        <v>11559357.77777778</v>
      </c>
      <c r="N25" s="63"/>
      <c r="O25" s="27">
        <f t="shared" si="14"/>
        <v>0</v>
      </c>
      <c r="P25" s="27">
        <f t="shared" si="11"/>
        <v>0</v>
      </c>
      <c r="Q25" s="79">
        <f t="shared" si="15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12"/>
        <v>7</v>
      </c>
      <c r="B26" s="38" t="s">
        <v>27</v>
      </c>
      <c r="C26" s="61">
        <v>41963</v>
      </c>
      <c r="D26" s="39">
        <v>46253</v>
      </c>
      <c r="E26" s="40">
        <v>1350000000</v>
      </c>
      <c r="F26" s="63"/>
      <c r="G26" s="62"/>
      <c r="H26" s="39">
        <v>42966</v>
      </c>
      <c r="I26" s="62">
        <v>12500000</v>
      </c>
      <c r="J26" s="63"/>
      <c r="K26" s="40">
        <f t="shared" si="10"/>
        <v>1337500000</v>
      </c>
      <c r="L26" s="63"/>
      <c r="M26" s="40">
        <f t="shared" si="13"/>
        <v>10837500.000000002</v>
      </c>
      <c r="N26" s="63"/>
      <c r="O26" s="27">
        <f t="shared" si="14"/>
        <v>0</v>
      </c>
      <c r="P26" s="27">
        <f t="shared" si="11"/>
        <v>0</v>
      </c>
      <c r="Q26" s="79">
        <f t="shared" si="15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12"/>
        <v>8</v>
      </c>
      <c r="B27" s="38" t="s">
        <v>28</v>
      </c>
      <c r="C27" s="61">
        <v>41984</v>
      </c>
      <c r="D27" s="39">
        <v>46253</v>
      </c>
      <c r="E27" s="40">
        <v>900040000</v>
      </c>
      <c r="F27" s="63"/>
      <c r="G27" s="62"/>
      <c r="H27" s="39">
        <v>42966</v>
      </c>
      <c r="I27" s="62">
        <v>8330000</v>
      </c>
      <c r="J27" s="63"/>
      <c r="K27" s="62">
        <f t="shared" si="10"/>
        <v>891710000</v>
      </c>
      <c r="L27" s="63"/>
      <c r="M27" s="40">
        <f t="shared" si="13"/>
        <v>7225321.111111111</v>
      </c>
      <c r="N27" s="63"/>
      <c r="O27" s="27">
        <f t="shared" si="14"/>
        <v>0</v>
      </c>
      <c r="P27" s="27">
        <f t="shared" si="11"/>
        <v>0</v>
      </c>
      <c r="Q27" s="79">
        <f t="shared" si="15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12"/>
        <v>9</v>
      </c>
      <c r="B28" s="38" t="s">
        <v>29</v>
      </c>
      <c r="C28" s="61">
        <v>42033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10"/>
        <v>1337500000</v>
      </c>
      <c r="L28" s="63"/>
      <c r="M28" s="40">
        <f t="shared" si="13"/>
        <v>10837500.000000002</v>
      </c>
      <c r="N28" s="63"/>
      <c r="O28" s="27">
        <f t="shared" si="14"/>
        <v>0</v>
      </c>
      <c r="P28" s="27">
        <f t="shared" si="11"/>
        <v>0</v>
      </c>
      <c r="Q28" s="79">
        <f t="shared" si="15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12"/>
        <v>10</v>
      </c>
      <c r="B29" s="38" t="s">
        <v>30</v>
      </c>
      <c r="C29" s="61">
        <v>42088</v>
      </c>
      <c r="D29" s="39">
        <v>46253</v>
      </c>
      <c r="E29" s="40">
        <v>1799960000</v>
      </c>
      <c r="F29" s="63"/>
      <c r="G29" s="62"/>
      <c r="H29" s="39">
        <v>42966</v>
      </c>
      <c r="I29" s="62">
        <v>16670000</v>
      </c>
      <c r="J29" s="63"/>
      <c r="K29" s="62">
        <f t="shared" si="10"/>
        <v>1783290000</v>
      </c>
      <c r="L29" s="63"/>
      <c r="M29" s="40">
        <f t="shared" si="13"/>
        <v>14449678.888888888</v>
      </c>
      <c r="N29" s="63"/>
      <c r="O29" s="27">
        <f t="shared" si="14"/>
        <v>0</v>
      </c>
      <c r="P29" s="27">
        <f t="shared" si="11"/>
        <v>0</v>
      </c>
      <c r="Q29" s="79">
        <f t="shared" si="15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12"/>
        <v>11</v>
      </c>
      <c r="B30" s="38" t="s">
        <v>31</v>
      </c>
      <c r="C30" s="61">
        <v>42114</v>
      </c>
      <c r="D30" s="39">
        <v>46253</v>
      </c>
      <c r="E30" s="40">
        <v>1259960000</v>
      </c>
      <c r="F30" s="63"/>
      <c r="G30" s="62"/>
      <c r="H30" s="39">
        <v>42966</v>
      </c>
      <c r="I30" s="62">
        <v>11670000</v>
      </c>
      <c r="J30" s="63"/>
      <c r="K30" s="62">
        <f t="shared" si="10"/>
        <v>1248290000</v>
      </c>
      <c r="L30" s="63"/>
      <c r="M30" s="40">
        <f t="shared" si="13"/>
        <v>10114678.88888889</v>
      </c>
      <c r="N30" s="63"/>
      <c r="O30" s="27">
        <f t="shared" si="14"/>
        <v>0</v>
      </c>
      <c r="P30" s="27">
        <f t="shared" si="11"/>
        <v>0</v>
      </c>
      <c r="Q30" s="79">
        <f t="shared" si="15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12"/>
        <v>12</v>
      </c>
      <c r="B31" s="38" t="s">
        <v>32</v>
      </c>
      <c r="C31" s="61">
        <v>42138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10"/>
        <v>1337500000</v>
      </c>
      <c r="L31" s="63"/>
      <c r="M31" s="40">
        <f t="shared" si="13"/>
        <v>10837500.000000002</v>
      </c>
      <c r="N31" s="63"/>
      <c r="O31" s="27">
        <f t="shared" si="14"/>
        <v>0</v>
      </c>
      <c r="P31" s="27">
        <f t="shared" si="11"/>
        <v>0</v>
      </c>
      <c r="Q31" s="79">
        <f t="shared" si="15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12"/>
        <v>13</v>
      </c>
      <c r="B32" s="38" t="s">
        <v>33</v>
      </c>
      <c r="C32" s="61">
        <v>42164</v>
      </c>
      <c r="D32" s="39">
        <v>46253</v>
      </c>
      <c r="E32" s="40">
        <v>1350000000</v>
      </c>
      <c r="F32" s="63"/>
      <c r="G32" s="62"/>
      <c r="H32" s="39">
        <v>42966</v>
      </c>
      <c r="I32" s="62">
        <v>12500000</v>
      </c>
      <c r="J32" s="63"/>
      <c r="K32" s="62">
        <f t="shared" si="10"/>
        <v>1337500000</v>
      </c>
      <c r="L32" s="63"/>
      <c r="M32" s="40">
        <f t="shared" si="13"/>
        <v>10837500.000000002</v>
      </c>
      <c r="N32" s="63"/>
      <c r="O32" s="27">
        <f t="shared" si="14"/>
        <v>0</v>
      </c>
      <c r="P32" s="27">
        <f t="shared" si="11"/>
        <v>0</v>
      </c>
      <c r="Q32" s="79">
        <f t="shared" si="15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12"/>
        <v>14</v>
      </c>
      <c r="B33" s="38" t="s">
        <v>34</v>
      </c>
      <c r="C33" s="61">
        <v>42187</v>
      </c>
      <c r="D33" s="39">
        <v>46253</v>
      </c>
      <c r="E33" s="40">
        <v>1350000000</v>
      </c>
      <c r="F33" s="63"/>
      <c r="G33" s="62"/>
      <c r="H33" s="39">
        <v>42966</v>
      </c>
      <c r="I33" s="62">
        <v>12500000</v>
      </c>
      <c r="J33" s="63"/>
      <c r="K33" s="62">
        <f t="shared" si="10"/>
        <v>1337500000</v>
      </c>
      <c r="L33" s="63"/>
      <c r="M33" s="40">
        <f t="shared" si="13"/>
        <v>15300000.000000002</v>
      </c>
      <c r="N33" s="63"/>
      <c r="O33" s="27">
        <f t="shared" si="14"/>
        <v>0</v>
      </c>
      <c r="P33" s="27">
        <f t="shared" si="11"/>
        <v>0</v>
      </c>
      <c r="Q33" s="79">
        <f t="shared" si="15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12"/>
        <v>15</v>
      </c>
      <c r="B34" s="38" t="s">
        <v>35</v>
      </c>
      <c r="C34" s="61">
        <v>42195</v>
      </c>
      <c r="D34" s="39">
        <v>46253</v>
      </c>
      <c r="E34" s="40">
        <v>1350000000</v>
      </c>
      <c r="F34" s="63"/>
      <c r="G34" s="62"/>
      <c r="H34" s="39">
        <v>42966</v>
      </c>
      <c r="I34" s="62">
        <v>12500000</v>
      </c>
      <c r="J34" s="63"/>
      <c r="K34" s="62">
        <f t="shared" si="10"/>
        <v>1337500000</v>
      </c>
      <c r="L34" s="63"/>
      <c r="M34" s="40">
        <f t="shared" si="13"/>
        <v>12750000.000000002</v>
      </c>
      <c r="N34" s="63"/>
      <c r="O34" s="27">
        <f t="shared" si="14"/>
        <v>0</v>
      </c>
      <c r="P34" s="27">
        <f t="shared" si="11"/>
        <v>0</v>
      </c>
      <c r="Q34" s="79">
        <f t="shared" si="15"/>
        <v>42966</v>
      </c>
      <c r="R34" s="78">
        <v>8.5000000000000006E-2</v>
      </c>
      <c r="S34" s="42" t="s">
        <v>24</v>
      </c>
    </row>
    <row r="35" spans="1:19" s="37" customFormat="1" ht="17.25" customHeight="1">
      <c r="A35" s="35">
        <f t="shared" si="12"/>
        <v>16</v>
      </c>
      <c r="B35" s="38" t="s">
        <v>36</v>
      </c>
      <c r="C35" s="61">
        <v>42215</v>
      </c>
      <c r="D35" s="39">
        <v>46253</v>
      </c>
      <c r="E35" s="40">
        <v>899960000</v>
      </c>
      <c r="F35" s="63"/>
      <c r="G35" s="62"/>
      <c r="H35" s="39">
        <v>42966</v>
      </c>
      <c r="I35" s="62">
        <v>8330000</v>
      </c>
      <c r="J35" s="63"/>
      <c r="K35" s="62">
        <f t="shared" si="10"/>
        <v>891630000</v>
      </c>
      <c r="L35" s="63"/>
      <c r="M35" s="40">
        <f t="shared" si="13"/>
        <v>4249811.111111111</v>
      </c>
      <c r="N35" s="63"/>
      <c r="O35" s="27">
        <f t="shared" si="14"/>
        <v>0</v>
      </c>
      <c r="P35" s="27">
        <f t="shared" si="11"/>
        <v>0</v>
      </c>
      <c r="Q35" s="79">
        <f t="shared" si="15"/>
        <v>42966</v>
      </c>
      <c r="R35" s="78">
        <v>8.5000000000000006E-2</v>
      </c>
      <c r="S35" s="42" t="s">
        <v>24</v>
      </c>
    </row>
    <row r="36" spans="1:19" s="37" customFormat="1" ht="17.25" customHeight="1">
      <c r="A36" s="35">
        <f t="shared" si="12"/>
        <v>17</v>
      </c>
      <c r="B36" s="38" t="s">
        <v>37</v>
      </c>
      <c r="C36" s="61">
        <v>42229</v>
      </c>
      <c r="D36" s="39">
        <v>46253</v>
      </c>
      <c r="E36" s="40">
        <v>899960000</v>
      </c>
      <c r="F36" s="63"/>
      <c r="G36" s="62"/>
      <c r="H36" s="39">
        <v>42966</v>
      </c>
      <c r="I36" s="62">
        <v>8330000</v>
      </c>
      <c r="J36" s="63"/>
      <c r="K36" s="62">
        <f t="shared" si="10"/>
        <v>891630000</v>
      </c>
      <c r="L36" s="63"/>
      <c r="M36" s="40">
        <f t="shared" si="13"/>
        <v>7224678.888888889</v>
      </c>
      <c r="N36" s="63"/>
      <c r="O36" s="27">
        <f t="shared" si="14"/>
        <v>0</v>
      </c>
      <c r="P36" s="27">
        <f t="shared" si="11"/>
        <v>0</v>
      </c>
      <c r="Q36" s="79">
        <f t="shared" si="15"/>
        <v>42966</v>
      </c>
      <c r="R36" s="78">
        <v>8.5000000000000006E-2</v>
      </c>
      <c r="S36" s="42" t="s">
        <v>24</v>
      </c>
    </row>
    <row r="37" spans="1:19" s="37" customFormat="1" ht="17.25" customHeight="1">
      <c r="A37" s="35">
        <f t="shared" si="12"/>
        <v>18</v>
      </c>
      <c r="B37" s="38" t="s">
        <v>90</v>
      </c>
      <c r="C37" s="61">
        <v>42860</v>
      </c>
      <c r="D37" s="61">
        <v>42983</v>
      </c>
      <c r="E37" s="62">
        <v>0</v>
      </c>
      <c r="F37" s="63">
        <v>87000</v>
      </c>
      <c r="G37" s="62"/>
      <c r="H37" s="61"/>
      <c r="I37" s="62"/>
      <c r="J37" s="63"/>
      <c r="K37" s="62">
        <f t="shared" si="10"/>
        <v>0</v>
      </c>
      <c r="L37" s="63">
        <f>F37</f>
        <v>87000</v>
      </c>
      <c r="M37" s="40"/>
      <c r="N37" s="63"/>
      <c r="O37" s="27">
        <f t="shared" si="14"/>
        <v>217.5</v>
      </c>
      <c r="P37" s="27">
        <f t="shared" si="11"/>
        <v>0</v>
      </c>
      <c r="Q37" s="79">
        <v>42871</v>
      </c>
      <c r="R37" s="78">
        <v>0.03</v>
      </c>
      <c r="S37" s="42" t="s">
        <v>52</v>
      </c>
    </row>
    <row r="38" spans="1:19" s="22" customFormat="1" ht="17.25" customHeight="1">
      <c r="A38" s="18"/>
      <c r="B38" s="23"/>
      <c r="C38" s="52"/>
      <c r="D38" s="52"/>
      <c r="E38" s="54"/>
      <c r="F38" s="53"/>
      <c r="G38" s="54"/>
      <c r="H38" s="52"/>
      <c r="I38" s="54"/>
      <c r="J38" s="53"/>
      <c r="K38" s="54"/>
      <c r="L38" s="53"/>
      <c r="M38" s="54"/>
      <c r="N38" s="53"/>
      <c r="O38" s="53"/>
      <c r="P38" s="53"/>
      <c r="Q38" s="19"/>
      <c r="R38" s="51"/>
      <c r="S38" s="28"/>
    </row>
    <row r="39" spans="1:19" s="58" customFormat="1" ht="17.25" customHeight="1">
      <c r="A39" s="127" t="s">
        <v>38</v>
      </c>
      <c r="B39" s="127"/>
      <c r="C39" s="55"/>
      <c r="D39" s="55"/>
      <c r="E39" s="30">
        <f>SUM(E23:E38)</f>
        <v>17999680000</v>
      </c>
      <c r="F39" s="31">
        <f>SUM(F23:F38)</f>
        <v>87000</v>
      </c>
      <c r="G39" s="30">
        <f>SUM(G23:G38)</f>
        <v>0</v>
      </c>
      <c r="H39" s="31"/>
      <c r="I39" s="30">
        <f t="shared" ref="I39:P39" si="16">SUM(I23:I38)</f>
        <v>166680000</v>
      </c>
      <c r="J39" s="31">
        <f t="shared" si="16"/>
        <v>0</v>
      </c>
      <c r="K39" s="30">
        <f t="shared" si="16"/>
        <v>17833000000</v>
      </c>
      <c r="L39" s="31">
        <f t="shared" si="16"/>
        <v>87000</v>
      </c>
      <c r="M39" s="30">
        <f t="shared" si="16"/>
        <v>147897563.33333334</v>
      </c>
      <c r="N39" s="31">
        <f t="shared" si="16"/>
        <v>0</v>
      </c>
      <c r="O39" s="31">
        <f t="shared" si="16"/>
        <v>217.5</v>
      </c>
      <c r="P39" s="31">
        <f t="shared" si="16"/>
        <v>0</v>
      </c>
      <c r="Q39" s="56"/>
      <c r="R39" s="57"/>
      <c r="S39" s="33"/>
    </row>
    <row r="40" spans="1:19" ht="17.25" customHeight="1">
      <c r="F40" s="68"/>
    </row>
    <row r="41" spans="1:19" ht="17.25" customHeight="1">
      <c r="F41" s="65"/>
      <c r="K41" s="110"/>
    </row>
    <row r="42" spans="1:19" ht="17.25" customHeight="1">
      <c r="F42" s="65"/>
    </row>
    <row r="43" spans="1:19" ht="17.25" customHeight="1">
      <c r="F43" s="65"/>
    </row>
    <row r="45" spans="1:19" ht="17.25" customHeight="1">
      <c r="F45" s="68"/>
    </row>
    <row r="53" spans="1:19" s="73" customFormat="1" ht="17.25" customHeight="1">
      <c r="A53" s="64"/>
      <c r="B53" s="65"/>
      <c r="C53" s="66"/>
      <c r="D53" s="66"/>
      <c r="E53" s="67"/>
      <c r="F53" s="71"/>
      <c r="G53" s="67"/>
      <c r="H53" s="69"/>
      <c r="I53" s="70"/>
      <c r="J53" s="70"/>
      <c r="K53" s="67"/>
      <c r="L53" s="71"/>
      <c r="M53" s="75"/>
      <c r="N53" s="75"/>
      <c r="O53" s="75"/>
      <c r="Q53" s="74"/>
      <c r="R53" s="74"/>
      <c r="S53" s="64"/>
    </row>
  </sheetData>
  <autoFilter ref="A3:S22"/>
  <mergeCells count="11">
    <mergeCell ref="M2:Q2"/>
    <mergeCell ref="R2:R3"/>
    <mergeCell ref="S2:S3"/>
    <mergeCell ref="A22:B22"/>
    <mergeCell ref="A39:B39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01-17</vt:lpstr>
      <vt:lpstr>02-17</vt:lpstr>
      <vt:lpstr>05-17</vt:lpstr>
      <vt:lpstr>06-17</vt:lpstr>
      <vt:lpstr>07-17</vt:lpstr>
      <vt:lpstr>08-17</vt:lpstr>
      <vt:lpstr>09-17</vt:lpstr>
      <vt:lpstr>10-17</vt:lpstr>
      <vt:lpstr>'07-17'!Print_Area</vt:lpstr>
      <vt:lpstr>'08-17'!Print_Area</vt:lpstr>
      <vt:lpstr>'09-17'!Print_Area</vt:lpstr>
      <vt:lpstr>'10-17'!Print_Area</vt:lpstr>
      <vt:lpstr>'01-17'!Print_Titles</vt:lpstr>
      <vt:lpstr>'02-17'!Print_Titles</vt:lpstr>
      <vt:lpstr>'05-17'!Print_Titles</vt:lpstr>
      <vt:lpstr>'06-17'!Print_Titles</vt:lpstr>
      <vt:lpstr>'07-17'!Print_Titles</vt:lpstr>
      <vt:lpstr>'08-17'!Print_Titles</vt:lpstr>
      <vt:lpstr>'09-17'!Print_Titles</vt:lpstr>
      <vt:lpstr>'10-17'!Print_Titles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2017-09-07T03:02:16Z</cp:lastPrinted>
  <dcterms:created xsi:type="dcterms:W3CDTF">2016-07-02T08:51:17Z</dcterms:created>
  <dcterms:modified xsi:type="dcterms:W3CDTF">2017-10-02T09:31:14Z</dcterms:modified>
</cp:coreProperties>
</file>