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19440" windowHeight="9795" activeTab="2"/>
  </bookViews>
  <sheets>
    <sheet name="TD-TQ" sheetId="1" r:id="rId1"/>
    <sheet name="GC - TQ (T8)" sheetId="2" r:id="rId2"/>
    <sheet name="19-10" sheetId="5" r:id="rId3"/>
  </sheets>
  <definedNames>
    <definedName name="_Fill" localSheetId="2" hidden="1">#REF!</definedName>
    <definedName name="_Fill" localSheetId="1" hidden="1">#REF!</definedName>
    <definedName name="_Fill" hidden="1">#REF!</definedName>
    <definedName name="_xlnm.Print_Area" localSheetId="2">'19-10'!$A$150:$N$201</definedName>
  </definedNames>
  <calcPr calcId="144525"/>
</workbook>
</file>

<file path=xl/calcChain.xml><?xml version="1.0" encoding="utf-8"?>
<calcChain xmlns="http://schemas.openxmlformats.org/spreadsheetml/2006/main">
  <c r="F181" i="5" l="1"/>
  <c r="E167" i="5"/>
  <c r="E166" i="5"/>
  <c r="E165" i="5"/>
  <c r="E164" i="5"/>
  <c r="A165" i="5"/>
  <c r="A166" i="5"/>
  <c r="A167" i="5"/>
  <c r="I194" i="5"/>
  <c r="F196" i="5"/>
  <c r="F191" i="5"/>
  <c r="E197" i="5" l="1"/>
  <c r="F195" i="5"/>
  <c r="E195" i="5"/>
  <c r="F194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J171" i="5"/>
  <c r="J170" i="5"/>
  <c r="J169" i="5"/>
  <c r="J168" i="5"/>
  <c r="J167" i="5"/>
  <c r="J166" i="5"/>
  <c r="J165" i="5"/>
  <c r="J164" i="5"/>
  <c r="F199" i="5" l="1"/>
  <c r="L165" i="5"/>
  <c r="N165" i="5"/>
  <c r="L166" i="5"/>
  <c r="N166" i="5" s="1"/>
  <c r="L167" i="5"/>
  <c r="N167" i="5" s="1"/>
  <c r="L168" i="5"/>
  <c r="N168" i="5" s="1"/>
  <c r="L169" i="5"/>
  <c r="N169" i="5"/>
  <c r="L170" i="5"/>
  <c r="N170" i="5" s="1"/>
  <c r="L171" i="5"/>
  <c r="N171" i="5"/>
  <c r="H33" i="1"/>
  <c r="H34" i="1"/>
  <c r="H35" i="1"/>
  <c r="H36" i="1"/>
  <c r="H37" i="1"/>
  <c r="H38" i="1"/>
  <c r="H39" i="1"/>
  <c r="H40" i="1"/>
  <c r="H41" i="1"/>
  <c r="A32" i="1"/>
  <c r="A33" i="1"/>
  <c r="A34" i="1"/>
  <c r="A35" i="1"/>
  <c r="A36" i="1"/>
  <c r="A37" i="1"/>
  <c r="A38" i="1"/>
  <c r="A39" i="1"/>
  <c r="A40" i="1"/>
  <c r="D157" i="5" l="1"/>
  <c r="L216" i="5"/>
  <c r="L217" i="5"/>
  <c r="L218" i="5"/>
  <c r="L219" i="5"/>
  <c r="L220" i="5"/>
  <c r="L221" i="5"/>
  <c r="L222" i="5"/>
  <c r="L223" i="5"/>
  <c r="L224" i="5"/>
  <c r="L225" i="5"/>
  <c r="L215" i="5"/>
  <c r="L214" i="5"/>
  <c r="L213" i="5"/>
  <c r="L212" i="5"/>
  <c r="J212" i="5"/>
  <c r="L211" i="5"/>
  <c r="J211" i="5"/>
  <c r="L210" i="5"/>
  <c r="J210" i="5"/>
  <c r="L209" i="5"/>
  <c r="J209" i="5"/>
  <c r="L208" i="5"/>
  <c r="J208" i="5"/>
  <c r="L164" i="5"/>
  <c r="N164" i="5" s="1"/>
  <c r="L226" i="5"/>
  <c r="A219" i="5"/>
  <c r="E218" i="5"/>
  <c r="A218" i="5"/>
  <c r="E217" i="5"/>
  <c r="A217" i="5"/>
  <c r="E216" i="5"/>
  <c r="A216" i="5"/>
  <c r="D215" i="5"/>
  <c r="E215" i="5" s="1"/>
  <c r="A215" i="5"/>
  <c r="K228" i="5"/>
  <c r="E214" i="5"/>
  <c r="A214" i="5"/>
  <c r="E213" i="5"/>
  <c r="A213" i="5"/>
  <c r="E212" i="5"/>
  <c r="A212" i="5"/>
  <c r="E211" i="5"/>
  <c r="A211" i="5"/>
  <c r="E210" i="5"/>
  <c r="A210" i="5"/>
  <c r="E209" i="5"/>
  <c r="A209" i="5"/>
  <c r="C208" i="5"/>
  <c r="E208" i="5" s="1"/>
  <c r="A208" i="5"/>
  <c r="K159" i="5"/>
  <c r="L159" i="5" s="1"/>
  <c r="L163" i="5"/>
  <c r="J163" i="5"/>
  <c r="N163" i="5" s="1"/>
  <c r="L162" i="5"/>
  <c r="J162" i="5"/>
  <c r="N162" i="5" s="1"/>
  <c r="L161" i="5"/>
  <c r="J161" i="5"/>
  <c r="N161" i="5" s="1"/>
  <c r="L160" i="5"/>
  <c r="J160" i="5"/>
  <c r="N160" i="5" s="1"/>
  <c r="J159" i="5"/>
  <c r="N159" i="5" l="1"/>
  <c r="L228" i="5"/>
  <c r="N228" i="5"/>
  <c r="E219" i="5" s="1"/>
  <c r="E232" i="5" s="1"/>
  <c r="E234" i="5" s="1"/>
  <c r="K122" i="5"/>
  <c r="I184" i="5"/>
  <c r="E182" i="5"/>
  <c r="E181" i="5"/>
  <c r="F180" i="5"/>
  <c r="E180" i="5"/>
  <c r="E178" i="5"/>
  <c r="E184" i="5" l="1"/>
  <c r="F184" i="5"/>
  <c r="I186" i="5" s="1"/>
  <c r="H31" i="1"/>
  <c r="H30" i="1"/>
  <c r="H29" i="1"/>
  <c r="H28" i="1"/>
  <c r="H27" i="1"/>
  <c r="H26" i="1"/>
  <c r="H25" i="1"/>
  <c r="H24" i="1"/>
  <c r="E190" i="5" l="1"/>
  <c r="E199" i="5" s="1"/>
  <c r="I147" i="5"/>
  <c r="E145" i="5"/>
  <c r="F144" i="5"/>
  <c r="E144" i="5"/>
  <c r="F143" i="5"/>
  <c r="E143" i="5"/>
  <c r="F142" i="5"/>
  <c r="E142" i="5"/>
  <c r="E140" i="5"/>
  <c r="E147" i="5" l="1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22" i="5"/>
  <c r="L117" i="5"/>
  <c r="L158" i="5"/>
  <c r="J158" i="5"/>
  <c r="N158" i="5" s="1"/>
  <c r="L157" i="5"/>
  <c r="J157" i="5"/>
  <c r="L156" i="5"/>
  <c r="J156" i="5"/>
  <c r="N156" i="5" s="1"/>
  <c r="L155" i="5"/>
  <c r="J155" i="5"/>
  <c r="L154" i="5"/>
  <c r="J154" i="5"/>
  <c r="N154" i="5" s="1"/>
  <c r="L153" i="5"/>
  <c r="J153" i="5"/>
  <c r="L116" i="5"/>
  <c r="L115" i="5"/>
  <c r="J113" i="5"/>
  <c r="J114" i="5"/>
  <c r="J112" i="5"/>
  <c r="C108" i="5"/>
  <c r="K111" i="5"/>
  <c r="L114" i="5"/>
  <c r="L113" i="5"/>
  <c r="L112" i="5"/>
  <c r="K173" i="5"/>
  <c r="E163" i="5"/>
  <c r="E162" i="5"/>
  <c r="E161" i="5"/>
  <c r="D160" i="5"/>
  <c r="E160" i="5" s="1"/>
  <c r="E159" i="5"/>
  <c r="E158" i="5"/>
  <c r="E157" i="5"/>
  <c r="E156" i="5"/>
  <c r="E155" i="5"/>
  <c r="E154" i="5"/>
  <c r="E153" i="5"/>
  <c r="D115" i="5"/>
  <c r="F132" i="5"/>
  <c r="N155" i="5" l="1"/>
  <c r="N157" i="5"/>
  <c r="N153" i="5"/>
  <c r="N121" i="5"/>
  <c r="N119" i="5"/>
  <c r="N114" i="5"/>
  <c r="N112" i="5"/>
  <c r="N122" i="5"/>
  <c r="N118" i="5"/>
  <c r="N113" i="5"/>
  <c r="N117" i="5"/>
  <c r="N116" i="5"/>
  <c r="N115" i="5"/>
  <c r="L173" i="5"/>
  <c r="N173" i="5" l="1"/>
  <c r="E173" i="5" s="1"/>
  <c r="F100" i="5"/>
  <c r="E175" i="5" l="1"/>
  <c r="I192" i="5"/>
  <c r="F130" i="5"/>
  <c r="E135" i="5"/>
  <c r="F134" i="5"/>
  <c r="E134" i="5"/>
  <c r="F133" i="5"/>
  <c r="E133" i="5"/>
  <c r="E132" i="5"/>
  <c r="E129" i="5"/>
  <c r="E137" i="5" l="1"/>
  <c r="L31" i="2"/>
  <c r="K31" i="2"/>
  <c r="E95" i="5" l="1"/>
  <c r="I98" i="5"/>
  <c r="I100" i="5" s="1"/>
  <c r="E97" i="5"/>
  <c r="A59" i="5" l="1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E100" i="5" l="1"/>
  <c r="F87" i="5" l="1"/>
  <c r="A27" i="1" l="1"/>
  <c r="A26" i="1"/>
  <c r="H23" i="1"/>
  <c r="A23" i="1"/>
  <c r="H22" i="1"/>
  <c r="A22" i="1"/>
  <c r="H21" i="1"/>
  <c r="A21" i="1"/>
  <c r="H20" i="1"/>
  <c r="A20" i="1"/>
  <c r="A31" i="1"/>
  <c r="A30" i="1"/>
  <c r="A29" i="1"/>
  <c r="A28" i="1"/>
  <c r="E87" i="5" l="1"/>
  <c r="E88" i="5"/>
  <c r="E86" i="5"/>
  <c r="E25" i="5"/>
  <c r="L111" i="5"/>
  <c r="J111" i="5"/>
  <c r="L110" i="5"/>
  <c r="J110" i="5"/>
  <c r="L109" i="5"/>
  <c r="J109" i="5"/>
  <c r="L108" i="5"/>
  <c r="J108" i="5"/>
  <c r="K70" i="5"/>
  <c r="L70" i="5" s="1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C58" i="5"/>
  <c r="N108" i="5" l="1"/>
  <c r="N110" i="5"/>
  <c r="N109" i="5"/>
  <c r="N111" i="5"/>
  <c r="N64" i="5"/>
  <c r="N65" i="5"/>
  <c r="N67" i="5"/>
  <c r="N69" i="5"/>
  <c r="E90" i="5"/>
  <c r="N70" i="5"/>
  <c r="N66" i="5"/>
  <c r="N68" i="5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J8" i="5"/>
  <c r="N8" i="5" s="1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L17" i="5" l="1"/>
  <c r="N17" i="5" l="1"/>
  <c r="A109" i="5" l="1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K73" i="5" s="1"/>
  <c r="L49" i="5"/>
  <c r="N49" i="5" s="1"/>
  <c r="L48" i="5"/>
  <c r="N48" i="5" s="1"/>
  <c r="L47" i="5"/>
  <c r="N47" i="5" s="1"/>
  <c r="L46" i="5"/>
  <c r="N46" i="5" s="1"/>
  <c r="L45" i="5"/>
  <c r="N45" i="5" s="1"/>
  <c r="E118" i="5" l="1"/>
  <c r="E117" i="5"/>
  <c r="E116" i="5"/>
  <c r="E115" i="5"/>
  <c r="E114" i="5"/>
  <c r="E113" i="5"/>
  <c r="E112" i="5"/>
  <c r="E111" i="5"/>
  <c r="E110" i="5"/>
  <c r="E109" i="5"/>
  <c r="E108" i="5"/>
  <c r="L40" i="5"/>
  <c r="N40" i="5" s="1"/>
  <c r="L39" i="5"/>
  <c r="N39" i="5" s="1"/>
  <c r="L38" i="5"/>
  <c r="N38" i="5" s="1"/>
  <c r="L37" i="5"/>
  <c r="N37" i="5" s="1"/>
  <c r="L36" i="5"/>
  <c r="N36" i="5" s="1"/>
  <c r="L35" i="5"/>
  <c r="N35" i="5" s="1"/>
  <c r="L41" i="5"/>
  <c r="N41" i="5" s="1"/>
  <c r="L42" i="5"/>
  <c r="N42" i="5" s="1"/>
  <c r="L43" i="5"/>
  <c r="N43" i="5" s="1"/>
  <c r="L44" i="5"/>
  <c r="N44" i="5" s="1"/>
  <c r="L26" i="5"/>
  <c r="N26" i="5" s="1"/>
  <c r="L25" i="5"/>
  <c r="N25" i="5" s="1"/>
  <c r="K24" i="5"/>
  <c r="L24" i="5" s="1"/>
  <c r="N24" i="5" s="1"/>
  <c r="L58" i="5"/>
  <c r="E68" i="5"/>
  <c r="E67" i="5"/>
  <c r="E66" i="5"/>
  <c r="D65" i="5"/>
  <c r="E65" i="5" s="1"/>
  <c r="E64" i="5"/>
  <c r="L63" i="5"/>
  <c r="N63" i="5" s="1"/>
  <c r="E63" i="5"/>
  <c r="L62" i="5"/>
  <c r="N62" i="5" s="1"/>
  <c r="E62" i="5"/>
  <c r="L61" i="5"/>
  <c r="N61" i="5" s="1"/>
  <c r="E61" i="5"/>
  <c r="L60" i="5"/>
  <c r="N60" i="5" s="1"/>
  <c r="E60" i="5"/>
  <c r="L59" i="5"/>
  <c r="N59" i="5" s="1"/>
  <c r="E59" i="5"/>
  <c r="E58" i="5"/>
  <c r="K51" i="5"/>
  <c r="A25" i="5"/>
  <c r="A26" i="5"/>
  <c r="A24" i="5"/>
  <c r="K28" i="5" l="1"/>
  <c r="N58" i="5"/>
  <c r="N73" i="5" s="1"/>
  <c r="L73" i="5"/>
  <c r="L28" i="5"/>
  <c r="C24" i="5" s="1"/>
  <c r="E24" i="5" s="1"/>
  <c r="L51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N124" i="5" l="1"/>
  <c r="L124" i="5"/>
  <c r="N28" i="5"/>
  <c r="E69" i="5"/>
  <c r="E73" i="5" s="1"/>
  <c r="N51" i="5"/>
  <c r="E46" i="5" s="1"/>
  <c r="E51" i="5" s="1"/>
  <c r="E17" i="5"/>
  <c r="E119" i="5" l="1"/>
  <c r="E124" i="5" s="1"/>
  <c r="E19" i="5"/>
  <c r="E78" i="5"/>
  <c r="E53" i="5"/>
  <c r="E80" i="5"/>
  <c r="E75" i="5"/>
  <c r="E81" i="5"/>
  <c r="E26" i="5"/>
  <c r="E28" i="5" s="1"/>
  <c r="H17" i="1"/>
  <c r="H16" i="1"/>
  <c r="H15" i="1"/>
  <c r="H14" i="1"/>
  <c r="H13" i="1"/>
  <c r="H12" i="1"/>
  <c r="E126" i="5" l="1"/>
  <c r="E30" i="5"/>
  <c r="E79" i="5"/>
  <c r="E83" i="5" s="1"/>
  <c r="I84" i="5" s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C9" i="2"/>
  <c r="E5" i="2"/>
  <c r="E9" i="2" s="1"/>
  <c r="K45" i="1"/>
  <c r="F45" i="1"/>
  <c r="H43" i="1"/>
  <c r="A43" i="1"/>
  <c r="H42" i="1"/>
  <c r="A42" i="1"/>
  <c r="A41" i="1"/>
  <c r="H32" i="1"/>
  <c r="H19" i="1"/>
  <c r="A19" i="1"/>
  <c r="H18" i="1"/>
  <c r="A18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F88" i="5" l="1"/>
  <c r="I88" i="5" s="1"/>
  <c r="E15" i="2"/>
  <c r="E41" i="2"/>
  <c r="F43" i="2" s="1"/>
  <c r="H45" i="1"/>
  <c r="N31" i="2"/>
  <c r="E28" i="2" s="1"/>
  <c r="C27" i="2"/>
  <c r="E27" i="2" s="1"/>
  <c r="F90" i="5" l="1"/>
  <c r="I90" i="5"/>
  <c r="E31" i="2"/>
  <c r="E33" i="2" s="1"/>
  <c r="I137" i="5" l="1"/>
  <c r="F137" i="5" l="1"/>
  <c r="F147" i="5"/>
  <c r="I199" i="5"/>
</calcChain>
</file>

<file path=xl/sharedStrings.xml><?xml version="1.0" encoding="utf-8"?>
<sst xmlns="http://schemas.openxmlformats.org/spreadsheetml/2006/main" count="566" uniqueCount="204">
  <si>
    <t>THEO DÕI HÀNG XUẤT TRUNG QUỐC</t>
  </si>
  <si>
    <t>STT</t>
  </si>
  <si>
    <t>NGÀY XUẤT</t>
  </si>
  <si>
    <t>THÔNG TIN TÀU</t>
  </si>
  <si>
    <t>THÔNG TIN HÀNG</t>
  </si>
  <si>
    <t>NGÀY TÀU ĐẾN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</si>
  <si>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</si>
  <si>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</si>
  <si>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</si>
  <si>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</si>
  <si>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</si>
  <si>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</si>
  <si>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</si>
  <si>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NGÀY TT</t>
  </si>
  <si>
    <t>SỐ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</si>
  <si>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</si>
  <si>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</si>
  <si>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</si>
  <si>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</si>
  <si>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</si>
  <si>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</si>
  <si>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</si>
  <si>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</si>
  <si>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</si>
  <si>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</si>
  <si>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</si>
  <si>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</si>
  <si>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</si>
  <si>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</si>
  <si>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</si>
  <si>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</si>
  <si>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</si>
  <si>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</si>
  <si>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</si>
  <si>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</si>
  <si>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</si>
  <si>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</si>
  <si>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</si>
  <si>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</si>
  <si>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</si>
  <si>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</si>
  <si>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</si>
  <si>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</si>
  <si>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</si>
  <si>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</si>
  <si>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</si>
  <si>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</si>
  <si>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</si>
  <si>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</si>
  <si>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</si>
  <si>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</si>
  <si>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</si>
  <si>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</si>
  <si>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</si>
  <si>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</si>
  <si>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</si>
  <si>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</si>
  <si>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</si>
  <si>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</si>
  <si>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</si>
  <si>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</si>
  <si>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</si>
  <si>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</si>
  <si>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</si>
  <si>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</si>
  <si>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</si>
  <si>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</si>
  <si>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</si>
  <si>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</si>
  <si>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</si>
  <si>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</si>
  <si>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</si>
  <si>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</si>
  <si>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</si>
  <si>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</si>
  <si>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</si>
  <si>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</si>
  <si>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</si>
  <si>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</si>
  <si>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</si>
  <si>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</si>
  <si>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</si>
  <si>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</si>
  <si>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</si>
  <si>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</si>
  <si>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</si>
  <si>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</si>
  <si>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</si>
  <si>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</si>
  <si>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</si>
  <si>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</si>
  <si>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</si>
  <si>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</si>
  <si>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</si>
  <si>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</si>
  <si>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</si>
  <si>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</si>
  <si>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</si>
  <si>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</si>
  <si>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</si>
  <si>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</si>
  <si>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</si>
  <si>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</si>
  <si>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</si>
  <si>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</si>
  <si>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</si>
  <si>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</si>
  <si>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</si>
  <si>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</si>
  <si>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</si>
  <si>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</si>
  <si>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</si>
  <si>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</si>
  <si>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</si>
  <si>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</si>
  <si>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</si>
  <si>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</si>
  <si>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</si>
  <si>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</si>
  <si>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</si>
  <si>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</si>
  <si>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</si>
  <si>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</si>
  <si>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CHI PHÍ XUAÁT HAØNG - CAÙ CÔM - SHOUSHAN ()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</si>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</sst>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</numFmts>
  <fonts count="26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8">
    <xf numFmtId="0" fontId="0" fillId="0" borderId="0"/>
    <xf numFmtId="43" fontId="5" fillId="0" borderId="0" applyFont="0" applyFill="0" applyBorder="0" applyAlignment="0" applyProtection="0"/>
    <xf numFmtId="3" fontId="6" fillId="2" borderId="2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2" borderId="2">
      <alignment horizontal="centerContinuous" vertical="center" wrapText="1"/>
    </xf>
    <xf numFmtId="3" fontId="6" fillId="2" borderId="2">
      <alignment horizontal="center" vertical="center" wrapText="1"/>
    </xf>
    <xf numFmtId="2" fontId="5" fillId="0" borderId="0" applyFont="0" applyFill="0" applyBorder="0" applyAlignment="0" applyProtection="0"/>
    <xf numFmtId="0" fontId="10" fillId="0" borderId="10" applyNumberFormat="0" applyAlignment="0" applyProtection="0">
      <alignment horizontal="left" vertical="center"/>
    </xf>
    <xf numFmtId="0" fontId="10" fillId="0" borderId="8">
      <alignment horizontal="left" vertical="center"/>
    </xf>
    <xf numFmtId="3" fontId="6" fillId="0" borderId="11"/>
    <xf numFmtId="3" fontId="11" fillId="0" borderId="12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165" fontId="12" fillId="0" borderId="13"/>
    <xf numFmtId="0" fontId="7" fillId="0" borderId="0"/>
    <xf numFmtId="0" fontId="8" fillId="0" borderId="0"/>
    <xf numFmtId="0" fontId="1" fillId="0" borderId="0"/>
    <xf numFmtId="0" fontId="5" fillId="0" borderId="0"/>
    <xf numFmtId="0" fontId="8" fillId="0" borderId="0"/>
    <xf numFmtId="0" fontId="13" fillId="0" borderId="0">
      <alignment horizontal="centerContinuous"/>
    </xf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5" fillId="0" borderId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/>
  </cellStyleXfs>
  <cellXfs count="20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vertical="center"/>
    </xf>
    <xf numFmtId="43" fontId="4" fillId="0" borderId="2" xfId="1" applyFont="1" applyBorder="1" applyAlignment="1">
      <alignment vertical="center"/>
    </xf>
    <xf numFmtId="0" fontId="18" fillId="0" borderId="0" xfId="22" applyFont="1" applyAlignment="1">
      <alignment vertical="center"/>
    </xf>
    <xf numFmtId="0" fontId="18" fillId="0" borderId="0" xfId="22" applyFont="1" applyAlignment="1">
      <alignment horizontal="center"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vertical="center"/>
    </xf>
    <xf numFmtId="0" fontId="19" fillId="0" borderId="0" xfId="22" applyFont="1" applyAlignment="1">
      <alignment vertical="center"/>
    </xf>
    <xf numFmtId="172" fontId="19" fillId="0" borderId="0" xfId="4" applyNumberFormat="1" applyFont="1" applyAlignment="1">
      <alignment vertical="center"/>
    </xf>
    <xf numFmtId="164" fontId="19" fillId="0" borderId="0" xfId="4" applyNumberFormat="1" applyFont="1" applyAlignment="1">
      <alignment vertical="center"/>
    </xf>
    <xf numFmtId="0" fontId="20" fillId="0" borderId="0" xfId="22" applyFont="1" applyAlignment="1">
      <alignment horizontal="center" vertical="center"/>
    </xf>
    <xf numFmtId="0" fontId="21" fillId="0" borderId="0" xfId="25" applyFont="1" applyAlignment="1">
      <alignment horizontal="center" vertical="center" wrapText="1"/>
    </xf>
    <xf numFmtId="0" fontId="21" fillId="0" borderId="2" xfId="25" applyFont="1" applyBorder="1" applyAlignment="1">
      <alignment horizontal="center" vertical="center" wrapText="1"/>
    </xf>
    <xf numFmtId="172" fontId="21" fillId="0" borderId="2" xfId="3" applyNumberFormat="1" applyFont="1" applyBorder="1" applyAlignment="1">
      <alignment horizontal="center" vertical="center" wrapText="1"/>
    </xf>
    <xf numFmtId="164" fontId="21" fillId="0" borderId="2" xfId="3" applyNumberFormat="1" applyFont="1" applyBorder="1" applyAlignment="1">
      <alignment horizontal="center" vertical="center" wrapText="1"/>
    </xf>
    <xf numFmtId="0" fontId="22" fillId="0" borderId="0" xfId="25" applyFont="1" applyAlignment="1">
      <alignment horizontal="center" vertical="center" wrapText="1"/>
    </xf>
    <xf numFmtId="0" fontId="22" fillId="0" borderId="0" xfId="25" applyFont="1" applyAlignment="1">
      <alignment vertical="center"/>
    </xf>
    <xf numFmtId="0" fontId="21" fillId="0" borderId="4" xfId="25" applyFont="1" applyBorder="1" applyAlignment="1">
      <alignment vertical="center"/>
    </xf>
    <xf numFmtId="172" fontId="22" fillId="0" borderId="4" xfId="3" applyNumberFormat="1" applyFont="1" applyBorder="1" applyAlignment="1">
      <alignment vertical="center"/>
    </xf>
    <xf numFmtId="43" fontId="22" fillId="0" borderId="4" xfId="3" applyFont="1" applyBorder="1" applyAlignment="1">
      <alignment vertical="center"/>
    </xf>
    <xf numFmtId="43" fontId="22" fillId="0" borderId="4" xfId="3" applyNumberFormat="1" applyFont="1" applyBorder="1" applyAlignment="1">
      <alignment vertical="center"/>
    </xf>
    <xf numFmtId="164" fontId="22" fillId="0" borderId="4" xfId="25" applyNumberFormat="1" applyFont="1" applyBorder="1" applyAlignment="1">
      <alignment vertical="center"/>
    </xf>
    <xf numFmtId="0" fontId="22" fillId="0" borderId="6" xfId="25" applyFont="1" applyBorder="1" applyAlignment="1">
      <alignment vertical="center"/>
    </xf>
    <xf numFmtId="172" fontId="22" fillId="0" borderId="6" xfId="3" applyNumberFormat="1" applyFont="1" applyBorder="1" applyAlignment="1">
      <alignment vertical="center"/>
    </xf>
    <xf numFmtId="43" fontId="22" fillId="0" borderId="6" xfId="3" applyFont="1" applyBorder="1" applyAlignment="1">
      <alignment vertical="center"/>
    </xf>
    <xf numFmtId="43" fontId="22" fillId="0" borderId="6" xfId="3" applyNumberFormat="1" applyFont="1" applyBorder="1" applyAlignment="1">
      <alignment vertical="center"/>
    </xf>
    <xf numFmtId="164" fontId="22" fillId="0" borderId="6" xfId="25" applyNumberFormat="1" applyFont="1" applyBorder="1" applyAlignment="1">
      <alignment vertical="center"/>
    </xf>
    <xf numFmtId="0" fontId="21" fillId="0" borderId="0" xfId="25" applyFont="1" applyAlignment="1">
      <alignment vertical="center"/>
    </xf>
    <xf numFmtId="0" fontId="21" fillId="0" borderId="6" xfId="25" applyFont="1" applyBorder="1" applyAlignment="1">
      <alignment vertical="center"/>
    </xf>
    <xf numFmtId="172" fontId="21" fillId="0" borderId="6" xfId="3" applyNumberFormat="1" applyFont="1" applyBorder="1" applyAlignment="1">
      <alignment vertical="center"/>
    </xf>
    <xf numFmtId="43" fontId="21" fillId="0" borderId="6" xfId="3" applyFont="1" applyBorder="1" applyAlignment="1">
      <alignment vertical="center"/>
    </xf>
    <xf numFmtId="43" fontId="21" fillId="0" borderId="6" xfId="3" applyNumberFormat="1" applyFont="1" applyBorder="1" applyAlignment="1">
      <alignment vertical="center"/>
    </xf>
    <xf numFmtId="164" fontId="21" fillId="0" borderId="6" xfId="25" applyNumberFormat="1" applyFont="1" applyBorder="1" applyAlignment="1">
      <alignment vertical="center"/>
    </xf>
    <xf numFmtId="43" fontId="22" fillId="0" borderId="6" xfId="1" applyFont="1" applyBorder="1" applyAlignment="1">
      <alignment vertical="center"/>
    </xf>
    <xf numFmtId="0" fontId="21" fillId="0" borderId="2" xfId="25" applyFont="1" applyBorder="1" applyAlignment="1">
      <alignment vertical="center"/>
    </xf>
    <xf numFmtId="172" fontId="21" fillId="0" borderId="2" xfId="3" applyNumberFormat="1" applyFont="1" applyBorder="1" applyAlignment="1">
      <alignment vertical="center"/>
    </xf>
    <xf numFmtId="43" fontId="22" fillId="0" borderId="0" xfId="1" applyFont="1" applyAlignment="1">
      <alignment vertical="center"/>
    </xf>
    <xf numFmtId="0" fontId="22" fillId="0" borderId="14" xfId="25" applyFont="1" applyBorder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14" xfId="3" applyFont="1" applyBorder="1" applyAlignment="1">
      <alignment vertical="center"/>
    </xf>
    <xf numFmtId="43" fontId="22" fillId="0" borderId="14" xfId="3" applyNumberFormat="1" applyFont="1" applyBorder="1" applyAlignment="1">
      <alignment vertical="center"/>
    </xf>
    <xf numFmtId="164" fontId="22" fillId="0" borderId="14" xfId="3" applyNumberFormat="1" applyFont="1" applyBorder="1" applyAlignment="1">
      <alignment vertical="center"/>
    </xf>
    <xf numFmtId="0" fontId="21" fillId="0" borderId="0" xfId="25" applyFont="1" applyBorder="1" applyAlignment="1">
      <alignment vertical="center"/>
    </xf>
    <xf numFmtId="172" fontId="21" fillId="0" borderId="0" xfId="3" applyNumberFormat="1" applyFont="1" applyAlignment="1">
      <alignment vertical="center"/>
    </xf>
    <xf numFmtId="172" fontId="21" fillId="0" borderId="15" xfId="3" applyNumberFormat="1" applyFont="1" applyBorder="1" applyAlignment="1">
      <alignment vertical="center"/>
    </xf>
    <xf numFmtId="43" fontId="21" fillId="0" borderId="0" xfId="3" applyNumberFormat="1" applyFont="1" applyBorder="1" applyAlignment="1">
      <alignment vertical="center"/>
    </xf>
    <xf numFmtId="43" fontId="21" fillId="0" borderId="0" xfId="1" applyFont="1" applyBorder="1" applyAlignment="1">
      <alignment vertical="center"/>
    </xf>
    <xf numFmtId="0" fontId="20" fillId="0" borderId="0" xfId="22" applyFont="1" applyAlignment="1">
      <alignment horizontal="left" vertical="center"/>
    </xf>
    <xf numFmtId="172" fontId="20" fillId="0" borderId="2" xfId="4" applyNumberFormat="1" applyFont="1" applyBorder="1" applyAlignment="1">
      <alignment horizontal="center" vertical="center" wrapText="1"/>
    </xf>
    <xf numFmtId="0" fontId="20" fillId="0" borderId="2" xfId="22" applyFont="1" applyBorder="1" applyAlignment="1">
      <alignment horizontal="center" vertical="center" wrapText="1"/>
    </xf>
    <xf numFmtId="0" fontId="20" fillId="0" borderId="2" xfId="22" applyFont="1" applyBorder="1" applyAlignment="1">
      <alignment horizontal="center" vertical="center"/>
    </xf>
    <xf numFmtId="164" fontId="20" fillId="0" borderId="2" xfId="4" applyNumberFormat="1" applyFont="1" applyBorder="1" applyAlignment="1">
      <alignment horizontal="center" vertical="center" wrapText="1"/>
    </xf>
    <xf numFmtId="0" fontId="22" fillId="0" borderId="13" xfId="22" applyFont="1" applyBorder="1" applyAlignment="1">
      <alignment horizontal="center" vertical="center"/>
    </xf>
    <xf numFmtId="0" fontId="22" fillId="0" borderId="13" xfId="22" applyFont="1" applyBorder="1" applyAlignment="1">
      <alignment vertical="center"/>
    </xf>
    <xf numFmtId="172" fontId="22" fillId="0" borderId="13" xfId="4" applyNumberFormat="1" applyFont="1" applyBorder="1" applyAlignment="1">
      <alignment vertical="center"/>
    </xf>
    <xf numFmtId="164" fontId="22" fillId="0" borderId="13" xfId="4" applyNumberFormat="1" applyFont="1" applyBorder="1" applyAlignment="1">
      <alignment vertical="center"/>
    </xf>
    <xf numFmtId="14" fontId="22" fillId="0" borderId="3" xfId="22" applyNumberFormat="1" applyFont="1" applyBorder="1" applyAlignment="1">
      <alignment horizontal="center" vertical="center"/>
    </xf>
    <xf numFmtId="0" fontId="22" fillId="0" borderId="3" xfId="22" applyFont="1" applyBorder="1" applyAlignment="1">
      <alignment horizontal="left" vertical="center"/>
    </xf>
    <xf numFmtId="0" fontId="22" fillId="0" borderId="3" xfId="22" applyFont="1" applyBorder="1" applyAlignment="1">
      <alignment horizontal="center" vertical="center"/>
    </xf>
    <xf numFmtId="173" fontId="22" fillId="0" borderId="3" xfId="4" applyNumberFormat="1" applyFont="1" applyBorder="1" applyAlignment="1">
      <alignment horizontal="center" vertical="center"/>
    </xf>
    <xf numFmtId="164" fontId="22" fillId="0" borderId="3" xfId="4" applyNumberFormat="1" applyFont="1" applyBorder="1" applyAlignment="1">
      <alignment horizontal="center" vertical="center"/>
    </xf>
    <xf numFmtId="43" fontId="19" fillId="0" borderId="0" xfId="22" applyNumberFormat="1" applyFont="1" applyAlignment="1">
      <alignment vertical="center"/>
    </xf>
    <xf numFmtId="0" fontId="22" fillId="0" borderId="4" xfId="22" applyFont="1" applyBorder="1" applyAlignment="1">
      <alignment horizontal="center" vertical="center"/>
    </xf>
    <xf numFmtId="0" fontId="22" fillId="0" borderId="4" xfId="22" applyFont="1" applyBorder="1" applyAlignment="1">
      <alignment vertical="center"/>
    </xf>
    <xf numFmtId="172" fontId="22" fillId="0" borderId="4" xfId="4" applyNumberFormat="1" applyFont="1" applyBorder="1" applyAlignment="1">
      <alignment vertical="center"/>
    </xf>
    <xf numFmtId="164" fontId="22" fillId="0" borderId="4" xfId="4" applyNumberFormat="1" applyFont="1" applyBorder="1" applyAlignment="1">
      <alignment vertical="center"/>
    </xf>
    <xf numFmtId="14" fontId="22" fillId="0" borderId="4" xfId="22" applyNumberFormat="1" applyFont="1" applyBorder="1" applyAlignment="1">
      <alignment horizontal="center" vertical="center"/>
    </xf>
    <xf numFmtId="173" fontId="22" fillId="0" borderId="4" xfId="4" applyNumberFormat="1" applyFont="1" applyBorder="1" applyAlignment="1">
      <alignment horizontal="center" vertical="center"/>
    </xf>
    <xf numFmtId="14" fontId="22" fillId="0" borderId="14" xfId="22" applyNumberFormat="1" applyFont="1" applyBorder="1" applyAlignment="1">
      <alignment horizontal="center" vertical="center"/>
    </xf>
    <xf numFmtId="0" fontId="22" fillId="0" borderId="14" xfId="22" applyFont="1" applyBorder="1" applyAlignment="1">
      <alignment horizontal="center" vertical="center"/>
    </xf>
    <xf numFmtId="172" fontId="22" fillId="0" borderId="14" xfId="4" applyNumberFormat="1" applyFont="1" applyBorder="1" applyAlignment="1">
      <alignment horizontal="center" vertical="center"/>
    </xf>
    <xf numFmtId="164" fontId="22" fillId="0" borderId="14" xfId="4" applyNumberFormat="1" applyFont="1" applyBorder="1" applyAlignment="1">
      <alignment horizontal="center" vertical="center"/>
    </xf>
    <xf numFmtId="0" fontId="21" fillId="0" borderId="2" xfId="22" applyFont="1" applyBorder="1" applyAlignment="1">
      <alignment vertical="center"/>
    </xf>
    <xf numFmtId="172" fontId="21" fillId="0" borderId="2" xfId="4" applyNumberFormat="1" applyFont="1" applyBorder="1" applyAlignment="1">
      <alignment vertical="center"/>
    </xf>
    <xf numFmtId="164" fontId="21" fillId="0" borderId="2" xfId="4" applyNumberFormat="1" applyFont="1" applyBorder="1" applyAlignment="1">
      <alignment vertical="center"/>
    </xf>
    <xf numFmtId="0" fontId="21" fillId="0" borderId="2" xfId="22" applyFont="1" applyBorder="1" applyAlignment="1">
      <alignment horizontal="center" vertical="center"/>
    </xf>
    <xf numFmtId="164" fontId="21" fillId="0" borderId="2" xfId="4" applyNumberFormat="1" applyFont="1" applyBorder="1" applyAlignment="1">
      <alignment horizontal="center" vertical="center"/>
    </xf>
    <xf numFmtId="43" fontId="19" fillId="0" borderId="0" xfId="22" applyNumberFormat="1" applyFont="1" applyAlignment="1">
      <alignment horizontal="center" vertical="center"/>
    </xf>
    <xf numFmtId="164" fontId="23" fillId="0" borderId="0" xfId="1" applyNumberFormat="1" applyFont="1" applyAlignment="1">
      <alignment horizontal="center" vertical="center"/>
    </xf>
    <xf numFmtId="43" fontId="3" fillId="0" borderId="0" xfId="22" applyNumberFormat="1" applyFont="1" applyAlignment="1">
      <alignment horizontal="center" vertical="center"/>
    </xf>
    <xf numFmtId="0" fontId="22" fillId="0" borderId="14" xfId="22" applyFont="1" applyBorder="1" applyAlignment="1">
      <alignment vertical="center"/>
    </xf>
    <xf numFmtId="172" fontId="22" fillId="0" borderId="14" xfId="4" applyNumberFormat="1" applyFont="1" applyBorder="1" applyAlignment="1">
      <alignment vertical="center"/>
    </xf>
    <xf numFmtId="164" fontId="22" fillId="0" borderId="14" xfId="4" applyNumberFormat="1" applyFont="1" applyBorder="1" applyAlignment="1">
      <alignment vertical="center"/>
    </xf>
    <xf numFmtId="164" fontId="20" fillId="0" borderId="0" xfId="4" applyNumberFormat="1" applyFont="1" applyAlignment="1">
      <alignment vertical="center"/>
    </xf>
    <xf numFmtId="164" fontId="20" fillId="0" borderId="0" xfId="22" applyNumberFormat="1" applyFont="1" applyAlignment="1">
      <alignment vertical="center"/>
    </xf>
    <xf numFmtId="0" fontId="20" fillId="0" borderId="2" xfId="22" applyFont="1" applyBorder="1" applyAlignment="1">
      <alignment vertical="center" wrapText="1"/>
    </xf>
    <xf numFmtId="164" fontId="20" fillId="0" borderId="2" xfId="4" applyNumberFormat="1" applyFont="1" applyBorder="1" applyAlignment="1">
      <alignment vertical="center" wrapText="1"/>
    </xf>
    <xf numFmtId="0" fontId="20" fillId="0" borderId="0" xfId="22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172" fontId="21" fillId="0" borderId="0" xfId="3" applyNumberFormat="1" applyFont="1" applyBorder="1" applyAlignment="1">
      <alignment vertical="center"/>
    </xf>
    <xf numFmtId="0" fontId="18" fillId="0" borderId="0" xfId="22" applyFont="1" applyAlignment="1">
      <alignment vertical="center" wrapText="1"/>
    </xf>
    <xf numFmtId="164" fontId="22" fillId="0" borderId="4" xfId="1" applyNumberFormat="1" applyFont="1" applyBorder="1" applyAlignment="1">
      <alignment horizontal="center" vertical="center"/>
    </xf>
    <xf numFmtId="164" fontId="21" fillId="0" borderId="2" xfId="1" applyNumberFormat="1" applyFont="1" applyBorder="1" applyAlignment="1">
      <alignment horizontal="center" vertical="center"/>
    </xf>
    <xf numFmtId="0" fontId="20" fillId="0" borderId="0" xfId="22" applyFont="1" applyAlignment="1">
      <alignment horizontal="center" vertical="center" wrapText="1"/>
    </xf>
    <xf numFmtId="0" fontId="21" fillId="0" borderId="0" xfId="25" applyFont="1" applyAlignment="1">
      <alignment horizontal="center" vertical="center"/>
    </xf>
    <xf numFmtId="164" fontId="22" fillId="0" borderId="3" xfId="1" applyNumberFormat="1" applyFont="1" applyBorder="1" applyAlignment="1">
      <alignment horizontal="center" vertical="center"/>
    </xf>
    <xf numFmtId="164" fontId="22" fillId="0" borderId="14" xfId="1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0" fillId="0" borderId="2" xfId="1" applyNumberFormat="1" applyFont="1" applyBorder="1" applyAlignment="1">
      <alignment horizontal="center" vertical="center" wrapText="1"/>
    </xf>
    <xf numFmtId="164" fontId="22" fillId="0" borderId="13" xfId="1" applyNumberFormat="1" applyFont="1" applyBorder="1" applyAlignment="1">
      <alignment vertical="center"/>
    </xf>
    <xf numFmtId="164" fontId="22" fillId="0" borderId="4" xfId="1" applyNumberFormat="1" applyFont="1" applyBorder="1" applyAlignment="1">
      <alignment vertical="center"/>
    </xf>
    <xf numFmtId="164" fontId="21" fillId="0" borderId="2" xfId="1" applyNumberFormat="1" applyFont="1" applyBorder="1" applyAlignment="1">
      <alignment vertical="center"/>
    </xf>
    <xf numFmtId="164" fontId="19" fillId="0" borderId="0" xfId="1" applyNumberFormat="1" applyFont="1" applyAlignment="1">
      <alignment vertical="center"/>
    </xf>
    <xf numFmtId="43" fontId="21" fillId="0" borderId="0" xfId="3" applyNumberFormat="1" applyFont="1" applyBorder="1" applyAlignment="1">
      <alignment horizontal="center" vertical="center"/>
    </xf>
    <xf numFmtId="164" fontId="22" fillId="0" borderId="13" xfId="4" applyNumberFormat="1" applyFont="1" applyBorder="1" applyAlignment="1">
      <alignment horizontal="center" vertical="center"/>
    </xf>
    <xf numFmtId="164" fontId="22" fillId="0" borderId="4" xfId="4" applyNumberFormat="1" applyFont="1" applyBorder="1" applyAlignment="1">
      <alignment horizontal="center" vertical="center"/>
    </xf>
    <xf numFmtId="164" fontId="19" fillId="0" borderId="0" xfId="4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22" applyFont="1" applyBorder="1" applyAlignment="1">
      <alignment horizontal="center" vertical="center" wrapText="1"/>
    </xf>
    <xf numFmtId="172" fontId="21" fillId="0" borderId="2" xfId="4" applyNumberFormat="1" applyFont="1" applyBorder="1" applyAlignment="1">
      <alignment horizontal="center" vertical="center" wrapText="1"/>
    </xf>
    <xf numFmtId="164" fontId="21" fillId="0" borderId="2" xfId="4" applyNumberFormat="1" applyFont="1" applyBorder="1" applyAlignment="1">
      <alignment horizontal="center" vertical="center" wrapText="1"/>
    </xf>
    <xf numFmtId="0" fontId="22" fillId="0" borderId="0" xfId="22" applyFont="1" applyAlignment="1">
      <alignment vertical="center"/>
    </xf>
    <xf numFmtId="0" fontId="22" fillId="0" borderId="0" xfId="22" applyFont="1" applyAlignment="1">
      <alignment horizontal="center" vertical="center"/>
    </xf>
    <xf numFmtId="0" fontId="21" fillId="0" borderId="0" xfId="22" applyFont="1" applyBorder="1" applyAlignment="1">
      <alignment vertical="center"/>
    </xf>
    <xf numFmtId="172" fontId="21" fillId="0" borderId="0" xfId="4" applyNumberFormat="1" applyFont="1" applyBorder="1" applyAlignment="1">
      <alignment vertical="center"/>
    </xf>
    <xf numFmtId="164" fontId="21" fillId="0" borderId="0" xfId="4" applyNumberFormat="1" applyFont="1" applyBorder="1" applyAlignment="1">
      <alignment vertical="center"/>
    </xf>
    <xf numFmtId="0" fontId="22" fillId="0" borderId="6" xfId="22" applyFont="1" applyBorder="1" applyAlignment="1">
      <alignment horizontal="center" vertical="center"/>
    </xf>
    <xf numFmtId="164" fontId="22" fillId="0" borderId="6" xfId="4" applyNumberFormat="1" applyFont="1" applyBorder="1" applyAlignment="1">
      <alignment vertical="center"/>
    </xf>
    <xf numFmtId="164" fontId="22" fillId="0" borderId="3" xfId="4" applyNumberFormat="1" applyFont="1" applyBorder="1" applyAlignment="1">
      <alignment vertical="center"/>
    </xf>
    <xf numFmtId="0" fontId="22" fillId="0" borderId="6" xfId="22" applyFont="1" applyBorder="1" applyAlignment="1">
      <alignment vertical="center"/>
    </xf>
    <xf numFmtId="172" fontId="22" fillId="0" borderId="6" xfId="4" applyNumberFormat="1" applyFont="1" applyBorder="1" applyAlignment="1">
      <alignment vertical="center"/>
    </xf>
    <xf numFmtId="164" fontId="22" fillId="0" borderId="0" xfId="22" applyNumberFormat="1" applyFont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164" fontId="24" fillId="0" borderId="0" xfId="22" applyNumberFormat="1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173" fontId="21" fillId="0" borderId="2" xfId="1" applyNumberFormat="1" applyFont="1" applyBorder="1" applyAlignment="1">
      <alignment horizontal="center" vertical="center"/>
    </xf>
    <xf numFmtId="164" fontId="19" fillId="0" borderId="0" xfId="22" applyNumberFormat="1" applyFont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3" fillId="0" borderId="4" xfId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21" fillId="0" borderId="2" xfId="22" applyFont="1" applyBorder="1" applyAlignment="1">
      <alignment horizontal="center" vertical="center" wrapText="1"/>
    </xf>
    <xf numFmtId="164" fontId="22" fillId="0" borderId="16" xfId="4" applyNumberFormat="1" applyFont="1" applyBorder="1" applyAlignment="1">
      <alignment horizontal="center" vertical="center"/>
    </xf>
    <xf numFmtId="164" fontId="22" fillId="0" borderId="17" xfId="4" applyNumberFormat="1" applyFont="1" applyBorder="1" applyAlignment="1">
      <alignment horizontal="center" vertical="center"/>
    </xf>
    <xf numFmtId="164" fontId="22" fillId="0" borderId="18" xfId="4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vertical="center"/>
    </xf>
    <xf numFmtId="164" fontId="20" fillId="0" borderId="0" xfId="4" applyNumberFormat="1" applyFont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8" fillId="0" borderId="0" xfId="22" applyFont="1" applyAlignment="1">
      <alignment horizontal="center" vertical="center" wrapText="1"/>
    </xf>
    <xf numFmtId="164" fontId="22" fillId="0" borderId="19" xfId="4" applyNumberFormat="1" applyFont="1" applyBorder="1" applyAlignment="1">
      <alignment horizontal="center" vertical="center"/>
    </xf>
    <xf numFmtId="164" fontId="22" fillId="0" borderId="20" xfId="4" applyNumberFormat="1" applyFont="1" applyBorder="1" applyAlignment="1">
      <alignment horizontal="center" vertical="center"/>
    </xf>
    <xf numFmtId="164" fontId="22" fillId="0" borderId="21" xfId="4" applyNumberFormat="1" applyFont="1" applyBorder="1" applyAlignment="1">
      <alignment horizontal="center" vertical="center"/>
    </xf>
    <xf numFmtId="164" fontId="21" fillId="0" borderId="7" xfId="4" applyNumberFormat="1" applyFont="1" applyBorder="1" applyAlignment="1">
      <alignment horizontal="center" vertical="center"/>
    </xf>
    <xf numFmtId="164" fontId="21" fillId="0" borderId="8" xfId="4" applyNumberFormat="1" applyFont="1" applyBorder="1" applyAlignment="1">
      <alignment horizontal="center" vertical="center"/>
    </xf>
    <xf numFmtId="164" fontId="21" fillId="0" borderId="9" xfId="4" applyNumberFormat="1" applyFont="1" applyBorder="1" applyAlignment="1">
      <alignment horizontal="center" vertical="center"/>
    </xf>
    <xf numFmtId="164" fontId="22" fillId="0" borderId="16" xfId="4" applyNumberFormat="1" applyFont="1" applyBorder="1" applyAlignment="1">
      <alignment horizontal="center" vertical="center"/>
    </xf>
    <xf numFmtId="164" fontId="22" fillId="0" borderId="17" xfId="4" applyNumberFormat="1" applyFont="1" applyBorder="1" applyAlignment="1">
      <alignment horizontal="center" vertical="center"/>
    </xf>
    <xf numFmtId="164" fontId="22" fillId="0" borderId="18" xfId="4" applyNumberFormat="1" applyFont="1" applyBorder="1" applyAlignment="1">
      <alignment horizontal="center" vertical="center"/>
    </xf>
    <xf numFmtId="164" fontId="21" fillId="0" borderId="7" xfId="4" applyNumberFormat="1" applyFont="1" applyBorder="1" applyAlignment="1">
      <alignment horizontal="center" vertical="center" wrapText="1"/>
    </xf>
    <xf numFmtId="164" fontId="21" fillId="0" borderId="8" xfId="4" applyNumberFormat="1" applyFont="1" applyBorder="1" applyAlignment="1">
      <alignment horizontal="center" vertical="center" wrapText="1"/>
    </xf>
    <xf numFmtId="164" fontId="21" fillId="0" borderId="9" xfId="4" applyNumberFormat="1" applyFont="1" applyBorder="1" applyAlignment="1">
      <alignment horizontal="center" vertical="center" wrapText="1"/>
    </xf>
    <xf numFmtId="0" fontId="21" fillId="0" borderId="2" xfId="22" applyFont="1" applyBorder="1" applyAlignment="1">
      <alignment horizontal="center" vertical="center" wrapText="1"/>
    </xf>
    <xf numFmtId="0" fontId="22" fillId="0" borderId="3" xfId="22" applyFont="1" applyBorder="1" applyAlignment="1">
      <alignment horizontal="left" vertical="center"/>
    </xf>
    <xf numFmtId="0" fontId="22" fillId="0" borderId="4" xfId="22" applyFont="1" applyBorder="1" applyAlignment="1">
      <alignment horizontal="left" vertical="center"/>
    </xf>
    <xf numFmtId="0" fontId="22" fillId="0" borderId="14" xfId="22" applyFont="1" applyBorder="1" applyAlignment="1">
      <alignment horizontal="left" vertical="center"/>
    </xf>
    <xf numFmtId="0" fontId="22" fillId="0" borderId="2" xfId="22" applyFont="1" applyBorder="1" applyAlignment="1">
      <alignment horizontal="left" vertical="center"/>
    </xf>
    <xf numFmtId="164" fontId="22" fillId="0" borderId="22" xfId="4" applyNumberFormat="1" applyFont="1" applyBorder="1" applyAlignment="1">
      <alignment horizontal="center" vertical="center"/>
    </xf>
    <xf numFmtId="164" fontId="22" fillId="0" borderId="23" xfId="4" applyNumberFormat="1" applyFont="1" applyBorder="1" applyAlignment="1">
      <alignment horizontal="center" vertical="center"/>
    </xf>
    <xf numFmtId="164" fontId="22" fillId="0" borderId="24" xfId="4" applyNumberFormat="1" applyFont="1" applyBorder="1" applyAlignment="1">
      <alignment horizontal="center" vertical="center"/>
    </xf>
  </cellXfs>
  <cellStyles count="38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5" xfId="24"/>
    <cellStyle name="Normal_CHI PHI HANG CHÚ NGUYÊN" xfId="25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45"/>
  <sheetViews>
    <sheetView workbookViewId="0">
      <pane ySplit="3" topLeftCell="A16" activePane="bottomLeft" state="frozen"/>
      <selection pane="bottomLeft" activeCell="L35" sqref="L35"/>
    </sheetView>
  </sheetViews>
  <sheetFormatPr defaultColWidth="10.7109375" defaultRowHeight="18" customHeight="1"/>
  <cols>
    <col min="1" max="1" width="4.7109375" style="1" customWidth="1"/>
    <col min="2" max="2" width="9.7109375" style="1" customWidth="1"/>
    <col min="3" max="3" width="28.7109375" style="1" customWidth="1"/>
    <col min="4" max="4" width="13.85546875" style="1" customWidth="1"/>
    <col min="5" max="5" width="13.5703125" style="1" customWidth="1"/>
    <col min="6" max="6" width="9" style="1" customWidth="1"/>
    <col min="7" max="7" width="6.85546875" style="1" customWidth="1"/>
    <col min="8" max="8" width="13" style="1" customWidth="1"/>
    <col min="9" max="9" width="10.7109375" style="1"/>
    <col min="10" max="10" width="9.5703125" style="1" customWidth="1"/>
    <col min="11" max="11" width="13.5703125" style="1" customWidth="1"/>
    <col min="12" max="12" width="14.7109375" style="1" bestFit="1" customWidth="1"/>
    <col min="13" max="16384" width="10.7109375" style="1"/>
  </cols>
  <sheetData>
    <row r="1" spans="1:12" ht="27" customHeigh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2" s="2" customFormat="1" ht="19.5" customHeight="1">
      <c r="A2" s="174" t="s">
        <v>1</v>
      </c>
      <c r="B2" s="174" t="s">
        <v>2</v>
      </c>
      <c r="C2" s="179" t="s">
        <v>3</v>
      </c>
      <c r="D2" s="179"/>
      <c r="E2" s="179"/>
      <c r="F2" s="179" t="s">
        <v>4</v>
      </c>
      <c r="G2" s="179"/>
      <c r="H2" s="179"/>
      <c r="I2" s="174" t="s">
        <v>5</v>
      </c>
      <c r="J2" s="179" t="s">
        <v>6</v>
      </c>
      <c r="K2" s="179"/>
      <c r="L2" s="174" t="s">
        <v>87</v>
      </c>
    </row>
    <row r="3" spans="1:12" s="5" customFormat="1" ht="27" customHeight="1">
      <c r="A3" s="174"/>
      <c r="B3" s="174" t="s">
        <v>2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174"/>
      <c r="J3" s="4" t="s">
        <v>13</v>
      </c>
      <c r="K3" s="124" t="s">
        <v>14</v>
      </c>
      <c r="L3" s="174"/>
    </row>
    <row r="4" spans="1:12" s="10" customFormat="1" ht="18" customHeight="1">
      <c r="A4" s="6">
        <f>IF(B4&lt;&gt;"",ROW()-3,"")</f>
        <v>1</v>
      </c>
      <c r="B4" s="7">
        <v>42589</v>
      </c>
      <c r="C4" s="6" t="s">
        <v>15</v>
      </c>
      <c r="D4" s="6" t="s">
        <v>16</v>
      </c>
      <c r="E4" s="6">
        <v>3290158</v>
      </c>
      <c r="F4" s="8">
        <v>26000</v>
      </c>
      <c r="G4" s="9">
        <v>2.85</v>
      </c>
      <c r="H4" s="9">
        <f>F4*G4</f>
        <v>74100</v>
      </c>
      <c r="I4" s="7">
        <v>42595</v>
      </c>
      <c r="J4" s="166">
        <v>42626</v>
      </c>
      <c r="K4" s="173">
        <v>148188</v>
      </c>
      <c r="L4" s="6" t="s">
        <v>113</v>
      </c>
    </row>
    <row r="5" spans="1:12" s="10" customFormat="1" ht="18" customHeight="1">
      <c r="A5" s="6">
        <f t="shared" ref="A5:A43" si="0">IF(B5&lt;&gt;"",ROW()-3,"")</f>
        <v>2</v>
      </c>
      <c r="B5" s="7">
        <v>42589</v>
      </c>
      <c r="C5" s="6" t="s">
        <v>15</v>
      </c>
      <c r="D5" s="11" t="s">
        <v>17</v>
      </c>
      <c r="E5" s="11">
        <v>3290198</v>
      </c>
      <c r="F5" s="8">
        <v>26000</v>
      </c>
      <c r="G5" s="9">
        <v>2.85</v>
      </c>
      <c r="H5" s="9">
        <f t="shared" ref="H5:H43" si="1">F5*G5</f>
        <v>74100</v>
      </c>
      <c r="I5" s="12">
        <v>42595</v>
      </c>
      <c r="J5" s="167"/>
      <c r="K5" s="168"/>
      <c r="L5" s="6" t="s">
        <v>113</v>
      </c>
    </row>
    <row r="6" spans="1:12" s="10" customFormat="1" ht="18" customHeight="1">
      <c r="A6" s="6">
        <f t="shared" si="0"/>
        <v>3</v>
      </c>
      <c r="B6" s="12">
        <v>42596</v>
      </c>
      <c r="C6" s="11" t="s">
        <v>18</v>
      </c>
      <c r="D6" s="11" t="s">
        <v>19</v>
      </c>
      <c r="E6" s="11">
        <v>3751842</v>
      </c>
      <c r="F6" s="8">
        <v>26000</v>
      </c>
      <c r="G6" s="9">
        <v>2.85</v>
      </c>
      <c r="H6" s="9">
        <f t="shared" si="1"/>
        <v>74100</v>
      </c>
      <c r="I6" s="12">
        <v>42604</v>
      </c>
      <c r="J6" s="167">
        <v>42633</v>
      </c>
      <c r="K6" s="168">
        <v>148188</v>
      </c>
      <c r="L6" s="6" t="s">
        <v>113</v>
      </c>
    </row>
    <row r="7" spans="1:12" s="10" customFormat="1" ht="18" customHeight="1">
      <c r="A7" s="6">
        <f t="shared" si="0"/>
        <v>4</v>
      </c>
      <c r="B7" s="12">
        <v>42596</v>
      </c>
      <c r="C7" s="11" t="s">
        <v>18</v>
      </c>
      <c r="D7" s="11" t="s">
        <v>20</v>
      </c>
      <c r="E7" s="11">
        <v>3755190</v>
      </c>
      <c r="F7" s="8">
        <v>26000</v>
      </c>
      <c r="G7" s="9">
        <v>2.85</v>
      </c>
      <c r="H7" s="9">
        <f t="shared" si="1"/>
        <v>74100</v>
      </c>
      <c r="I7" s="12">
        <v>42604</v>
      </c>
      <c r="J7" s="167"/>
      <c r="K7" s="168"/>
      <c r="L7" s="6" t="s">
        <v>113</v>
      </c>
    </row>
    <row r="8" spans="1:12" s="10" customFormat="1" ht="18" customHeight="1">
      <c r="A8" s="6">
        <f t="shared" si="0"/>
        <v>5</v>
      </c>
      <c r="B8" s="12">
        <v>42662</v>
      </c>
      <c r="C8" s="11" t="s">
        <v>21</v>
      </c>
      <c r="D8" s="11" t="s">
        <v>22</v>
      </c>
      <c r="E8" s="11" t="s">
        <v>64</v>
      </c>
      <c r="F8" s="8">
        <v>26000</v>
      </c>
      <c r="G8" s="9">
        <v>2.8</v>
      </c>
      <c r="H8" s="9">
        <f t="shared" si="1"/>
        <v>72800</v>
      </c>
      <c r="I8" s="12">
        <v>42670</v>
      </c>
      <c r="J8" s="167">
        <v>42685</v>
      </c>
      <c r="K8" s="168">
        <v>145588</v>
      </c>
      <c r="L8" s="6" t="s">
        <v>85</v>
      </c>
    </row>
    <row r="9" spans="1:12" s="10" customFormat="1" ht="18" customHeight="1">
      <c r="A9" s="6">
        <f t="shared" si="0"/>
        <v>6</v>
      </c>
      <c r="B9" s="12">
        <v>42662</v>
      </c>
      <c r="C9" s="11" t="s">
        <v>21</v>
      </c>
      <c r="D9" s="11" t="s">
        <v>23</v>
      </c>
      <c r="E9" s="11" t="s">
        <v>65</v>
      </c>
      <c r="F9" s="8">
        <v>26000</v>
      </c>
      <c r="G9" s="9">
        <v>2.8</v>
      </c>
      <c r="H9" s="9">
        <f t="shared" si="1"/>
        <v>72800</v>
      </c>
      <c r="I9" s="12">
        <v>42670</v>
      </c>
      <c r="J9" s="167"/>
      <c r="K9" s="168"/>
      <c r="L9" s="6" t="s">
        <v>86</v>
      </c>
    </row>
    <row r="10" spans="1:12" s="10" customFormat="1" ht="18" customHeight="1">
      <c r="A10" s="6">
        <f t="shared" si="0"/>
        <v>7</v>
      </c>
      <c r="B10" s="12">
        <v>42675</v>
      </c>
      <c r="C10" s="11" t="s">
        <v>66</v>
      </c>
      <c r="D10" s="11" t="s">
        <v>67</v>
      </c>
      <c r="E10" s="11" t="s">
        <v>69</v>
      </c>
      <c r="F10" s="8">
        <v>26000</v>
      </c>
      <c r="G10" s="9">
        <v>2.8</v>
      </c>
      <c r="H10" s="9">
        <f t="shared" si="1"/>
        <v>72800</v>
      </c>
      <c r="I10" s="12"/>
      <c r="J10" s="166">
        <v>42689</v>
      </c>
      <c r="K10" s="168">
        <v>145588</v>
      </c>
      <c r="L10" s="6" t="s">
        <v>113</v>
      </c>
    </row>
    <row r="11" spans="1:12" s="10" customFormat="1" ht="18" customHeight="1">
      <c r="A11" s="6">
        <f t="shared" si="0"/>
        <v>8</v>
      </c>
      <c r="B11" s="12">
        <v>42675</v>
      </c>
      <c r="C11" s="11" t="s">
        <v>66</v>
      </c>
      <c r="D11" s="11" t="s">
        <v>68</v>
      </c>
      <c r="E11" s="11" t="s">
        <v>70</v>
      </c>
      <c r="F11" s="8">
        <v>26000</v>
      </c>
      <c r="G11" s="9">
        <v>2.8</v>
      </c>
      <c r="H11" s="9">
        <f t="shared" si="1"/>
        <v>72800</v>
      </c>
      <c r="I11" s="12"/>
      <c r="J11" s="167"/>
      <c r="K11" s="168"/>
      <c r="L11" s="6" t="s">
        <v>86</v>
      </c>
    </row>
    <row r="12" spans="1:12" s="10" customFormat="1" ht="18" customHeight="1">
      <c r="A12" s="6">
        <v>9</v>
      </c>
      <c r="B12" s="12">
        <v>42678</v>
      </c>
      <c r="C12" s="11" t="s">
        <v>71</v>
      </c>
      <c r="D12" s="10" t="s">
        <v>72</v>
      </c>
      <c r="E12" s="11">
        <v>3679964</v>
      </c>
      <c r="F12" s="8">
        <v>26000</v>
      </c>
      <c r="G12" s="9">
        <v>2.8</v>
      </c>
      <c r="H12" s="9">
        <f t="shared" ref="H12:H13" si="2">F12*G12</f>
        <v>72800</v>
      </c>
      <c r="I12" s="12"/>
      <c r="J12" s="169">
        <v>42696</v>
      </c>
      <c r="K12" s="171">
        <v>291188</v>
      </c>
      <c r="L12" s="6" t="s">
        <v>113</v>
      </c>
    </row>
    <row r="13" spans="1:12" s="10" customFormat="1" ht="18" customHeight="1">
      <c r="A13" s="6">
        <v>10</v>
      </c>
      <c r="B13" s="12">
        <v>42678</v>
      </c>
      <c r="C13" s="11" t="s">
        <v>71</v>
      </c>
      <c r="D13" s="11" t="s">
        <v>73</v>
      </c>
      <c r="E13" s="11">
        <v>3679968</v>
      </c>
      <c r="F13" s="8">
        <v>26000</v>
      </c>
      <c r="G13" s="9">
        <v>2.8</v>
      </c>
      <c r="H13" s="9">
        <f t="shared" si="2"/>
        <v>72800</v>
      </c>
      <c r="I13" s="12"/>
      <c r="J13" s="170"/>
      <c r="K13" s="172"/>
      <c r="L13" s="6" t="s">
        <v>113</v>
      </c>
    </row>
    <row r="14" spans="1:12" s="10" customFormat="1" ht="18" customHeight="1">
      <c r="A14" s="6">
        <v>11</v>
      </c>
      <c r="B14" s="12">
        <v>42678</v>
      </c>
      <c r="C14" s="11" t="s">
        <v>71</v>
      </c>
      <c r="D14" s="105" t="s">
        <v>74</v>
      </c>
      <c r="E14" s="11">
        <v>3679957</v>
      </c>
      <c r="F14" s="8">
        <v>26000</v>
      </c>
      <c r="G14" s="9">
        <v>2.8</v>
      </c>
      <c r="H14" s="9">
        <f t="shared" ref="H14:H15" si="3">F14*G14</f>
        <v>72800</v>
      </c>
      <c r="I14" s="12"/>
      <c r="J14" s="170"/>
      <c r="K14" s="172"/>
      <c r="L14" s="6" t="s">
        <v>86</v>
      </c>
    </row>
    <row r="15" spans="1:12" s="10" customFormat="1" ht="18" customHeight="1">
      <c r="A15" s="6">
        <v>12</v>
      </c>
      <c r="B15" s="12">
        <v>42678</v>
      </c>
      <c r="C15" s="11" t="s">
        <v>71</v>
      </c>
      <c r="D15" s="11" t="s">
        <v>75</v>
      </c>
      <c r="E15" s="11">
        <v>3679951</v>
      </c>
      <c r="F15" s="8">
        <v>26000</v>
      </c>
      <c r="G15" s="9">
        <v>2.8</v>
      </c>
      <c r="H15" s="9">
        <f t="shared" si="3"/>
        <v>72800</v>
      </c>
      <c r="I15" s="12"/>
      <c r="J15" s="166"/>
      <c r="K15" s="173"/>
      <c r="L15" s="6" t="s">
        <v>86</v>
      </c>
    </row>
    <row r="16" spans="1:12" s="10" customFormat="1" ht="18" customHeight="1">
      <c r="A16" s="6">
        <v>13</v>
      </c>
      <c r="B16" s="12">
        <v>42682</v>
      </c>
      <c r="C16" s="11" t="s">
        <v>172</v>
      </c>
      <c r="D16" s="11" t="s">
        <v>76</v>
      </c>
      <c r="E16" s="11" t="s">
        <v>78</v>
      </c>
      <c r="F16" s="8">
        <v>26000</v>
      </c>
      <c r="G16" s="9">
        <v>2.8</v>
      </c>
      <c r="H16" s="9">
        <f t="shared" ref="H16:H17" si="4">F16*G16</f>
        <v>72800</v>
      </c>
      <c r="I16" s="12"/>
      <c r="J16" s="166">
        <v>42699</v>
      </c>
      <c r="K16" s="168">
        <v>145588</v>
      </c>
      <c r="L16" s="6" t="s">
        <v>113</v>
      </c>
    </row>
    <row r="17" spans="1:12" s="10" customFormat="1" ht="18" customHeight="1">
      <c r="A17" s="6">
        <v>14</v>
      </c>
      <c r="B17" s="12">
        <v>42682</v>
      </c>
      <c r="C17" s="11" t="s">
        <v>172</v>
      </c>
      <c r="D17" s="11" t="s">
        <v>77</v>
      </c>
      <c r="E17" s="11" t="s">
        <v>79</v>
      </c>
      <c r="F17" s="8">
        <v>26000</v>
      </c>
      <c r="G17" s="9">
        <v>2.8</v>
      </c>
      <c r="H17" s="9">
        <f t="shared" si="4"/>
        <v>72800</v>
      </c>
      <c r="I17" s="12"/>
      <c r="J17" s="167"/>
      <c r="K17" s="168"/>
      <c r="L17" s="6" t="s">
        <v>113</v>
      </c>
    </row>
    <row r="18" spans="1:12" s="10" customFormat="1" ht="18" customHeight="1">
      <c r="A18" s="6">
        <f t="shared" si="0"/>
        <v>15</v>
      </c>
      <c r="B18" s="12">
        <v>42684</v>
      </c>
      <c r="C18" s="11" t="s">
        <v>171</v>
      </c>
      <c r="D18" s="11" t="s">
        <v>138</v>
      </c>
      <c r="E18" s="11">
        <v>3756229</v>
      </c>
      <c r="F18" s="8">
        <v>26000</v>
      </c>
      <c r="G18" s="9">
        <v>2.8</v>
      </c>
      <c r="H18" s="9">
        <f t="shared" si="1"/>
        <v>72800</v>
      </c>
      <c r="I18" s="12"/>
      <c r="J18" s="166">
        <v>42702</v>
      </c>
      <c r="K18" s="168">
        <v>145588</v>
      </c>
      <c r="L18" s="6" t="s">
        <v>113</v>
      </c>
    </row>
    <row r="19" spans="1:12" s="10" customFormat="1" ht="18" customHeight="1">
      <c r="A19" s="6">
        <f t="shared" si="0"/>
        <v>16</v>
      </c>
      <c r="B19" s="12">
        <v>42685</v>
      </c>
      <c r="C19" s="11" t="s">
        <v>171</v>
      </c>
      <c r="D19" s="11" t="s">
        <v>139</v>
      </c>
      <c r="E19" s="11">
        <v>3756225</v>
      </c>
      <c r="F19" s="8">
        <v>26000</v>
      </c>
      <c r="G19" s="9">
        <v>2.8</v>
      </c>
      <c r="H19" s="9">
        <f t="shared" si="1"/>
        <v>72800</v>
      </c>
      <c r="I19" s="12"/>
      <c r="J19" s="167"/>
      <c r="K19" s="168"/>
      <c r="L19" s="6" t="s">
        <v>113</v>
      </c>
    </row>
    <row r="20" spans="1:12" s="10" customFormat="1" ht="18" customHeight="1">
      <c r="A20" s="6">
        <f t="shared" si="0"/>
        <v>17</v>
      </c>
      <c r="B20" s="12">
        <v>42690</v>
      </c>
      <c r="C20" s="11" t="s">
        <v>170</v>
      </c>
      <c r="D20" s="11" t="s">
        <v>140</v>
      </c>
      <c r="E20" s="11" t="s">
        <v>142</v>
      </c>
      <c r="F20" s="8">
        <v>26000</v>
      </c>
      <c r="G20" s="142">
        <v>2.8</v>
      </c>
      <c r="H20" s="9">
        <f t="shared" si="1"/>
        <v>72800</v>
      </c>
      <c r="I20" s="12"/>
      <c r="J20" s="169">
        <v>42709</v>
      </c>
      <c r="K20" s="171">
        <v>291188</v>
      </c>
      <c r="L20" s="6" t="s">
        <v>113</v>
      </c>
    </row>
    <row r="21" spans="1:12" s="10" customFormat="1" ht="18" customHeight="1">
      <c r="A21" s="6">
        <f t="shared" si="0"/>
        <v>18</v>
      </c>
      <c r="B21" s="141">
        <v>42690</v>
      </c>
      <c r="C21" s="11" t="s">
        <v>170</v>
      </c>
      <c r="D21" s="11" t="s">
        <v>141</v>
      </c>
      <c r="E21" s="11" t="s">
        <v>143</v>
      </c>
      <c r="F21" s="8">
        <v>26000</v>
      </c>
      <c r="G21" s="142">
        <v>2.8</v>
      </c>
      <c r="H21" s="9">
        <f t="shared" si="1"/>
        <v>72800</v>
      </c>
      <c r="I21" s="12"/>
      <c r="J21" s="170"/>
      <c r="K21" s="172"/>
      <c r="L21" s="6" t="s">
        <v>113</v>
      </c>
    </row>
    <row r="22" spans="1:12" s="10" customFormat="1" ht="18" customHeight="1">
      <c r="A22" s="6">
        <f t="shared" si="0"/>
        <v>19</v>
      </c>
      <c r="B22" s="141">
        <v>42691</v>
      </c>
      <c r="C22" s="11" t="s">
        <v>146</v>
      </c>
      <c r="D22" s="11" t="s">
        <v>144</v>
      </c>
      <c r="E22" s="11">
        <v>3756238</v>
      </c>
      <c r="F22" s="8">
        <v>26000</v>
      </c>
      <c r="G22" s="142">
        <v>2.8</v>
      </c>
      <c r="H22" s="9">
        <f t="shared" si="1"/>
        <v>72800</v>
      </c>
      <c r="I22" s="12"/>
      <c r="J22" s="170"/>
      <c r="K22" s="172"/>
      <c r="L22" s="6" t="s">
        <v>113</v>
      </c>
    </row>
    <row r="23" spans="1:12" s="10" customFormat="1" ht="18" customHeight="1">
      <c r="A23" s="6">
        <f t="shared" si="0"/>
        <v>20</v>
      </c>
      <c r="B23" s="141">
        <v>42691</v>
      </c>
      <c r="C23" s="11" t="s">
        <v>146</v>
      </c>
      <c r="D23" s="11" t="s">
        <v>145</v>
      </c>
      <c r="E23" s="11">
        <v>3743082</v>
      </c>
      <c r="F23" s="8">
        <v>26000</v>
      </c>
      <c r="G23" s="142">
        <v>2.8</v>
      </c>
      <c r="H23" s="9">
        <f t="shared" si="1"/>
        <v>72800</v>
      </c>
      <c r="I23" s="12"/>
      <c r="J23" s="166"/>
      <c r="K23" s="173"/>
      <c r="L23" s="6" t="s">
        <v>113</v>
      </c>
    </row>
    <row r="24" spans="1:12" s="10" customFormat="1" ht="18" customHeight="1">
      <c r="A24" s="6">
        <v>21</v>
      </c>
      <c r="B24" s="12">
        <v>42699</v>
      </c>
      <c r="C24" s="11" t="s">
        <v>160</v>
      </c>
      <c r="D24" s="11" t="s">
        <v>161</v>
      </c>
      <c r="E24" s="11" t="s">
        <v>165</v>
      </c>
      <c r="F24" s="8">
        <v>26000</v>
      </c>
      <c r="G24" s="149">
        <v>2.8</v>
      </c>
      <c r="H24" s="149">
        <f t="shared" ref="H24:H27" si="5">F24*G24</f>
        <v>72800</v>
      </c>
      <c r="I24" s="12"/>
      <c r="J24" s="169"/>
      <c r="K24" s="171"/>
      <c r="L24" s="6" t="s">
        <v>169</v>
      </c>
    </row>
    <row r="25" spans="1:12" s="10" customFormat="1" ht="18" customHeight="1">
      <c r="A25" s="6">
        <v>22</v>
      </c>
      <c r="B25" s="148">
        <v>42699</v>
      </c>
      <c r="C25" s="11" t="s">
        <v>160</v>
      </c>
      <c r="D25" s="11" t="s">
        <v>162</v>
      </c>
      <c r="E25" s="11" t="s">
        <v>166</v>
      </c>
      <c r="F25" s="8">
        <v>26000</v>
      </c>
      <c r="G25" s="149">
        <v>2.8</v>
      </c>
      <c r="H25" s="149">
        <f t="shared" si="5"/>
        <v>72800</v>
      </c>
      <c r="I25" s="12"/>
      <c r="J25" s="170"/>
      <c r="K25" s="172"/>
      <c r="L25" s="6" t="s">
        <v>169</v>
      </c>
    </row>
    <row r="26" spans="1:12" s="10" customFormat="1" ht="18" customHeight="1">
      <c r="A26" s="6">
        <f t="shared" ref="A26:A27" si="6">IF(B26&lt;&gt;"",ROW()-3,"")</f>
        <v>23</v>
      </c>
      <c r="B26" s="148">
        <v>42699</v>
      </c>
      <c r="C26" s="11" t="s">
        <v>160</v>
      </c>
      <c r="D26" s="11" t="s">
        <v>163</v>
      </c>
      <c r="E26" s="11" t="s">
        <v>167</v>
      </c>
      <c r="F26" s="8">
        <v>26000</v>
      </c>
      <c r="G26" s="149">
        <v>2.8</v>
      </c>
      <c r="H26" s="149">
        <f t="shared" si="5"/>
        <v>72800</v>
      </c>
      <c r="I26" s="12"/>
      <c r="J26" s="170"/>
      <c r="K26" s="172"/>
      <c r="L26" s="6" t="s">
        <v>113</v>
      </c>
    </row>
    <row r="27" spans="1:12" s="10" customFormat="1" ht="18" customHeight="1">
      <c r="A27" s="6">
        <f t="shared" si="6"/>
        <v>24</v>
      </c>
      <c r="B27" s="148">
        <v>42699</v>
      </c>
      <c r="C27" s="11" t="s">
        <v>160</v>
      </c>
      <c r="D27" s="11" t="s">
        <v>164</v>
      </c>
      <c r="E27" s="11" t="s">
        <v>168</v>
      </c>
      <c r="F27" s="8">
        <v>26000</v>
      </c>
      <c r="G27" s="149">
        <v>2.8</v>
      </c>
      <c r="H27" s="149">
        <f t="shared" si="5"/>
        <v>72800</v>
      </c>
      <c r="I27" s="12"/>
      <c r="J27" s="166"/>
      <c r="K27" s="173"/>
      <c r="L27" s="6" t="s">
        <v>113</v>
      </c>
    </row>
    <row r="28" spans="1:12" s="10" customFormat="1" ht="18" customHeight="1">
      <c r="A28" s="6">
        <f t="shared" ref="A28:A40" si="7">IF(B28&lt;&gt;"",ROW()-3,"")</f>
        <v>25</v>
      </c>
      <c r="B28" s="12">
        <v>42702</v>
      </c>
      <c r="C28" s="11" t="s">
        <v>173</v>
      </c>
      <c r="D28" s="11" t="s">
        <v>174</v>
      </c>
      <c r="E28" s="11" t="s">
        <v>178</v>
      </c>
      <c r="F28" s="8">
        <v>26000</v>
      </c>
      <c r="G28" s="149">
        <v>2.8</v>
      </c>
      <c r="H28" s="149">
        <f t="shared" ref="H28:H31" si="8">F28*G28</f>
        <v>72800</v>
      </c>
      <c r="I28" s="12"/>
      <c r="J28" s="169"/>
      <c r="K28" s="171"/>
      <c r="L28" s="6" t="s">
        <v>169</v>
      </c>
    </row>
    <row r="29" spans="1:12" s="10" customFormat="1" ht="18" customHeight="1">
      <c r="A29" s="6">
        <f t="shared" si="7"/>
        <v>26</v>
      </c>
      <c r="B29" s="148">
        <v>42702</v>
      </c>
      <c r="C29" s="11" t="s">
        <v>173</v>
      </c>
      <c r="D29" s="11" t="s">
        <v>175</v>
      </c>
      <c r="E29" s="11" t="s">
        <v>179</v>
      </c>
      <c r="F29" s="8">
        <v>26000</v>
      </c>
      <c r="G29" s="149">
        <v>2.8</v>
      </c>
      <c r="H29" s="149">
        <f t="shared" si="8"/>
        <v>72800</v>
      </c>
      <c r="I29" s="12"/>
      <c r="J29" s="170"/>
      <c r="K29" s="172"/>
      <c r="L29" s="6" t="s">
        <v>113</v>
      </c>
    </row>
    <row r="30" spans="1:12" s="10" customFormat="1" ht="18" customHeight="1">
      <c r="A30" s="6">
        <f t="shared" si="7"/>
        <v>27</v>
      </c>
      <c r="B30" s="148">
        <v>42702</v>
      </c>
      <c r="C30" s="11" t="s">
        <v>173</v>
      </c>
      <c r="D30" s="11" t="s">
        <v>176</v>
      </c>
      <c r="E30" s="11" t="s">
        <v>180</v>
      </c>
      <c r="F30" s="8">
        <v>26000</v>
      </c>
      <c r="G30" s="149">
        <v>2.8</v>
      </c>
      <c r="H30" s="149">
        <f t="shared" si="8"/>
        <v>72800</v>
      </c>
      <c r="I30" s="12"/>
      <c r="J30" s="170"/>
      <c r="K30" s="172"/>
      <c r="L30" s="6" t="s">
        <v>86</v>
      </c>
    </row>
    <row r="31" spans="1:12" s="10" customFormat="1" ht="18" customHeight="1">
      <c r="A31" s="6">
        <f t="shared" si="7"/>
        <v>28</v>
      </c>
      <c r="B31" s="148">
        <v>42702</v>
      </c>
      <c r="C31" s="11" t="s">
        <v>173</v>
      </c>
      <c r="D31" s="11" t="s">
        <v>177</v>
      </c>
      <c r="E31" s="11" t="s">
        <v>181</v>
      </c>
      <c r="F31" s="8">
        <v>26000</v>
      </c>
      <c r="G31" s="149">
        <v>2.8</v>
      </c>
      <c r="H31" s="149">
        <f t="shared" si="8"/>
        <v>72800</v>
      </c>
      <c r="I31" s="12"/>
      <c r="J31" s="166"/>
      <c r="K31" s="173"/>
      <c r="L31" s="6" t="s">
        <v>86</v>
      </c>
    </row>
    <row r="32" spans="1:12" s="10" customFormat="1" ht="18" customHeight="1">
      <c r="A32" s="6">
        <f t="shared" si="7"/>
        <v>29</v>
      </c>
      <c r="B32" s="12">
        <v>42706</v>
      </c>
      <c r="C32" s="11"/>
      <c r="D32" s="11"/>
      <c r="E32" s="11"/>
      <c r="F32" s="8">
        <v>26000</v>
      </c>
      <c r="G32" s="158">
        <v>2.8</v>
      </c>
      <c r="H32" s="151">
        <f t="shared" si="1"/>
        <v>72800</v>
      </c>
      <c r="I32" s="150"/>
      <c r="J32" s="169"/>
      <c r="K32" s="171"/>
      <c r="L32" s="6" t="s">
        <v>113</v>
      </c>
    </row>
    <row r="33" spans="1:12" s="10" customFormat="1" ht="18" customHeight="1">
      <c r="A33" s="6">
        <f t="shared" si="7"/>
        <v>30</v>
      </c>
      <c r="B33" s="157">
        <v>42706</v>
      </c>
      <c r="C33" s="11"/>
      <c r="D33" s="11"/>
      <c r="E33" s="11"/>
      <c r="F33" s="8">
        <v>26000</v>
      </c>
      <c r="G33" s="158">
        <v>2.8</v>
      </c>
      <c r="H33" s="156">
        <f t="shared" si="1"/>
        <v>72800</v>
      </c>
      <c r="I33" s="150"/>
      <c r="J33" s="170"/>
      <c r="K33" s="172"/>
      <c r="L33" s="6" t="s">
        <v>113</v>
      </c>
    </row>
    <row r="34" spans="1:12" s="10" customFormat="1" ht="18" customHeight="1">
      <c r="A34" s="6">
        <f t="shared" si="7"/>
        <v>31</v>
      </c>
      <c r="B34" s="157">
        <v>42706</v>
      </c>
      <c r="C34" s="11"/>
      <c r="D34" s="11"/>
      <c r="E34" s="11"/>
      <c r="F34" s="8">
        <v>26000</v>
      </c>
      <c r="G34" s="158">
        <v>2.8</v>
      </c>
      <c r="H34" s="156">
        <f t="shared" si="1"/>
        <v>72800</v>
      </c>
      <c r="I34" s="150"/>
      <c r="J34" s="170"/>
      <c r="K34" s="172"/>
      <c r="L34" s="6" t="s">
        <v>113</v>
      </c>
    </row>
    <row r="35" spans="1:12" s="10" customFormat="1" ht="18" customHeight="1">
      <c r="A35" s="6">
        <f t="shared" si="7"/>
        <v>32</v>
      </c>
      <c r="B35" s="157">
        <v>42706</v>
      </c>
      <c r="C35" s="11"/>
      <c r="D35" s="11"/>
      <c r="E35" s="11"/>
      <c r="F35" s="8">
        <v>26000</v>
      </c>
      <c r="G35" s="158">
        <v>2.68</v>
      </c>
      <c r="H35" s="156">
        <f t="shared" si="1"/>
        <v>69680</v>
      </c>
      <c r="I35" s="150"/>
      <c r="J35" s="166"/>
      <c r="K35" s="173"/>
      <c r="L35" s="6" t="s">
        <v>113</v>
      </c>
    </row>
    <row r="36" spans="1:12" s="10" customFormat="1" ht="18" customHeight="1">
      <c r="A36" s="6" t="str">
        <f t="shared" si="7"/>
        <v/>
      </c>
      <c r="B36" s="150"/>
      <c r="C36" s="11"/>
      <c r="D36" s="11"/>
      <c r="E36" s="11"/>
      <c r="F36" s="153"/>
      <c r="G36" s="151"/>
      <c r="H36" s="156">
        <f t="shared" si="1"/>
        <v>0</v>
      </c>
      <c r="I36" s="150"/>
      <c r="J36" s="154"/>
      <c r="K36" s="155"/>
      <c r="L36" s="11"/>
    </row>
    <row r="37" spans="1:12" s="10" customFormat="1" ht="18" customHeight="1">
      <c r="A37" s="6" t="str">
        <f t="shared" si="7"/>
        <v/>
      </c>
      <c r="B37" s="150"/>
      <c r="C37" s="11"/>
      <c r="D37" s="11"/>
      <c r="E37" s="11"/>
      <c r="F37" s="153"/>
      <c r="G37" s="151"/>
      <c r="H37" s="156">
        <f t="shared" si="1"/>
        <v>0</v>
      </c>
      <c r="I37" s="150"/>
      <c r="J37" s="154"/>
      <c r="K37" s="155"/>
      <c r="L37" s="11"/>
    </row>
    <row r="38" spans="1:12" s="10" customFormat="1" ht="18" customHeight="1">
      <c r="A38" s="6" t="str">
        <f t="shared" si="7"/>
        <v/>
      </c>
      <c r="B38" s="150"/>
      <c r="C38" s="11"/>
      <c r="D38" s="11"/>
      <c r="E38" s="11"/>
      <c r="F38" s="153"/>
      <c r="G38" s="151"/>
      <c r="H38" s="156">
        <f t="shared" si="1"/>
        <v>0</v>
      </c>
      <c r="I38" s="150"/>
      <c r="J38" s="154"/>
      <c r="K38" s="155"/>
      <c r="L38" s="11"/>
    </row>
    <row r="39" spans="1:12" s="10" customFormat="1" ht="18" customHeight="1">
      <c r="A39" s="6" t="str">
        <f t="shared" si="7"/>
        <v/>
      </c>
      <c r="B39" s="150"/>
      <c r="C39" s="11"/>
      <c r="D39" s="11"/>
      <c r="E39" s="11"/>
      <c r="F39" s="153"/>
      <c r="G39" s="151"/>
      <c r="H39" s="156">
        <f t="shared" si="1"/>
        <v>0</v>
      </c>
      <c r="I39" s="150"/>
      <c r="J39" s="154"/>
      <c r="K39" s="155"/>
      <c r="L39" s="11"/>
    </row>
    <row r="40" spans="1:12" s="10" customFormat="1" ht="18" customHeight="1">
      <c r="A40" s="6" t="str">
        <f t="shared" si="7"/>
        <v/>
      </c>
      <c r="B40" s="150"/>
      <c r="C40" s="11"/>
      <c r="D40" s="11"/>
      <c r="E40" s="11"/>
      <c r="F40" s="153"/>
      <c r="G40" s="151"/>
      <c r="H40" s="156">
        <f t="shared" si="1"/>
        <v>0</v>
      </c>
      <c r="I40" s="150"/>
      <c r="J40" s="154"/>
      <c r="K40" s="155"/>
      <c r="L40" s="11"/>
    </row>
    <row r="41" spans="1:12" s="10" customFormat="1" ht="18" customHeight="1">
      <c r="A41" s="6" t="str">
        <f t="shared" si="0"/>
        <v/>
      </c>
      <c r="B41" s="12"/>
      <c r="C41" s="11"/>
      <c r="D41" s="11"/>
      <c r="E41" s="11"/>
      <c r="F41" s="153"/>
      <c r="G41" s="151"/>
      <c r="H41" s="156">
        <f t="shared" si="1"/>
        <v>0</v>
      </c>
      <c r="I41" s="150"/>
      <c r="J41" s="154"/>
      <c r="K41" s="155"/>
      <c r="L41" s="11"/>
    </row>
    <row r="42" spans="1:12" s="10" customFormat="1" ht="18" customHeight="1">
      <c r="A42" s="6" t="str">
        <f t="shared" si="0"/>
        <v/>
      </c>
      <c r="B42" s="12"/>
      <c r="C42" s="11"/>
      <c r="D42" s="11"/>
      <c r="E42" s="11"/>
      <c r="F42" s="153"/>
      <c r="G42" s="151"/>
      <c r="H42" s="151">
        <f t="shared" si="1"/>
        <v>0</v>
      </c>
      <c r="I42" s="150"/>
      <c r="J42" s="167"/>
      <c r="K42" s="168"/>
      <c r="L42" s="11"/>
    </row>
    <row r="43" spans="1:12" s="10" customFormat="1" ht="18" customHeight="1">
      <c r="A43" s="6" t="str">
        <f t="shared" si="0"/>
        <v/>
      </c>
      <c r="B43" s="12"/>
      <c r="C43" s="11"/>
      <c r="D43" s="11"/>
      <c r="E43" s="11"/>
      <c r="F43" s="153"/>
      <c r="G43" s="151"/>
      <c r="H43" s="151">
        <f t="shared" si="1"/>
        <v>0</v>
      </c>
      <c r="I43" s="150"/>
      <c r="J43" s="167"/>
      <c r="K43" s="168"/>
      <c r="L43" s="11"/>
    </row>
    <row r="44" spans="1:12" s="10" customFormat="1" ht="9" customHeight="1">
      <c r="A44" s="13"/>
      <c r="B44" s="14"/>
      <c r="C44" s="15"/>
      <c r="D44" s="15"/>
      <c r="E44" s="15"/>
      <c r="F44" s="16"/>
      <c r="G44" s="17"/>
      <c r="H44" s="17"/>
      <c r="I44" s="14"/>
      <c r="J44" s="12"/>
      <c r="K44" s="9"/>
      <c r="L44" s="13"/>
    </row>
    <row r="45" spans="1:12" s="2" customFormat="1" ht="18" customHeight="1">
      <c r="A45" s="175" t="s">
        <v>24</v>
      </c>
      <c r="B45" s="176"/>
      <c r="C45" s="176"/>
      <c r="D45" s="176"/>
      <c r="E45" s="177"/>
      <c r="F45" s="18">
        <f t="shared" ref="F45" si="9">SUM(F4:F44)</f>
        <v>832000</v>
      </c>
      <c r="G45" s="19"/>
      <c r="H45" s="19">
        <f>SUM(H4:H44)</f>
        <v>2331680</v>
      </c>
      <c r="I45" s="4"/>
      <c r="J45" s="4"/>
      <c r="K45" s="19">
        <f>SUM(K4:K44)</f>
        <v>1461104</v>
      </c>
      <c r="L45" s="19"/>
    </row>
  </sheetData>
  <mergeCells count="33">
    <mergeCell ref="L2:L3"/>
    <mergeCell ref="A45:E45"/>
    <mergeCell ref="A1:K1"/>
    <mergeCell ref="A2:A3"/>
    <mergeCell ref="B2:B3"/>
    <mergeCell ref="C2:E2"/>
    <mergeCell ref="F2:H2"/>
    <mergeCell ref="I2:I3"/>
    <mergeCell ref="J2:K2"/>
    <mergeCell ref="J4:J5"/>
    <mergeCell ref="J6:J7"/>
    <mergeCell ref="J8:J9"/>
    <mergeCell ref="K4:K5"/>
    <mergeCell ref="K6:K7"/>
    <mergeCell ref="K8:K9"/>
    <mergeCell ref="K10:K11"/>
    <mergeCell ref="K16:K17"/>
    <mergeCell ref="J10:J11"/>
    <mergeCell ref="J16:J17"/>
    <mergeCell ref="J12:J15"/>
    <mergeCell ref="K12:K15"/>
    <mergeCell ref="J42:J43"/>
    <mergeCell ref="K42:K43"/>
    <mergeCell ref="J32:J35"/>
    <mergeCell ref="K32:K35"/>
    <mergeCell ref="J28:J31"/>
    <mergeCell ref="K28:K31"/>
    <mergeCell ref="J18:J19"/>
    <mergeCell ref="K18:K19"/>
    <mergeCell ref="J20:J23"/>
    <mergeCell ref="K20:K23"/>
    <mergeCell ref="J24:J27"/>
    <mergeCell ref="K24:K27"/>
  </mergeCells>
  <pageMargins left="0.16" right="0.16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43"/>
  <sheetViews>
    <sheetView topLeftCell="A31" workbookViewId="0">
      <selection activeCell="J33" sqref="J33"/>
    </sheetView>
  </sheetViews>
  <sheetFormatPr defaultColWidth="9.140625" defaultRowHeight="16.5"/>
  <cols>
    <col min="1" max="1" width="5.5703125" style="24" customWidth="1"/>
    <col min="2" max="2" width="34.140625" style="24" customWidth="1"/>
    <col min="3" max="3" width="12.5703125" style="25" customWidth="1"/>
    <col min="4" max="4" width="13.28515625" style="26" bestFit="1" customWidth="1"/>
    <col min="5" max="5" width="17.42578125" style="26" customWidth="1"/>
    <col min="6" max="6" width="15.85546875" style="24" customWidth="1"/>
    <col min="7" max="7" width="14.5703125" style="22" bestFit="1" customWidth="1"/>
    <col min="8" max="8" width="10.42578125" style="22" customWidth="1"/>
    <col min="9" max="9" width="16.5703125" style="22" customWidth="1"/>
    <col min="10" max="11" width="11.5703125" style="22" customWidth="1"/>
    <col min="12" max="12" width="10" style="22" customWidth="1"/>
    <col min="13" max="13" width="12.85546875" style="22" customWidth="1"/>
    <col min="14" max="14" width="13.28515625" style="22" customWidth="1"/>
    <col min="15" max="16384" width="9.140625" style="24"/>
  </cols>
  <sheetData>
    <row r="1" spans="1:11" ht="47.25" customHeight="1">
      <c r="A1" s="180" t="s">
        <v>25</v>
      </c>
      <c r="B1" s="180"/>
      <c r="C1" s="180"/>
      <c r="D1" s="180"/>
      <c r="E1" s="180"/>
      <c r="F1" s="20"/>
      <c r="G1" s="21"/>
      <c r="H1" s="21"/>
    </row>
    <row r="2" spans="1:11" ht="18.75" customHeight="1">
      <c r="A2" s="23"/>
      <c r="G2" s="24"/>
      <c r="H2" s="27"/>
    </row>
    <row r="3" spans="1:11" s="32" customFormat="1" ht="39.75" customHeight="1">
      <c r="A3" s="28"/>
      <c r="B3" s="29" t="s">
        <v>26</v>
      </c>
      <c r="C3" s="30" t="s">
        <v>10</v>
      </c>
      <c r="D3" s="31" t="s">
        <v>11</v>
      </c>
      <c r="E3" s="31" t="s">
        <v>27</v>
      </c>
      <c r="F3" s="31" t="s">
        <v>6</v>
      </c>
    </row>
    <row r="4" spans="1:11" s="33" customFormat="1" ht="17.25" customHeight="1">
      <c r="B4" s="34" t="s">
        <v>28</v>
      </c>
      <c r="C4" s="35"/>
      <c r="D4" s="36"/>
      <c r="E4" s="37"/>
      <c r="F4" s="38"/>
    </row>
    <row r="5" spans="1:11" s="33" customFormat="1" ht="17.25" customHeight="1">
      <c r="B5" s="39" t="s">
        <v>29</v>
      </c>
      <c r="C5" s="40">
        <v>52000</v>
      </c>
      <c r="D5" s="41">
        <v>2.85</v>
      </c>
      <c r="E5" s="42">
        <f>C5*D5</f>
        <v>148200</v>
      </c>
      <c r="F5" s="43"/>
    </row>
    <row r="6" spans="1:11" s="44" customFormat="1" ht="17.25" customHeight="1">
      <c r="B6" s="45" t="s">
        <v>30</v>
      </c>
      <c r="C6" s="46"/>
      <c r="D6" s="47"/>
      <c r="E6" s="48"/>
      <c r="F6" s="49"/>
    </row>
    <row r="7" spans="1:11" s="33" customFormat="1" ht="17.25" customHeight="1">
      <c r="B7" s="39" t="s">
        <v>31</v>
      </c>
      <c r="C7" s="40"/>
      <c r="D7" s="41"/>
      <c r="E7" s="42"/>
      <c r="F7" s="50">
        <v>148188</v>
      </c>
    </row>
    <row r="8" spans="1:11" s="33" customFormat="1" ht="17.25" customHeight="1">
      <c r="B8" s="39"/>
      <c r="C8" s="40"/>
      <c r="D8" s="41"/>
      <c r="E8" s="42"/>
      <c r="F8" s="43"/>
    </row>
    <row r="9" spans="1:11" s="44" customFormat="1" ht="17.25" customHeight="1">
      <c r="B9" s="51" t="s">
        <v>32</v>
      </c>
      <c r="C9" s="52">
        <f>SUM(C4:C8)</f>
        <v>52000</v>
      </c>
      <c r="D9" s="52"/>
      <c r="E9" s="52">
        <f t="shared" ref="E9:F9" si="0">SUM(E4:E8)</f>
        <v>148200</v>
      </c>
      <c r="F9" s="52">
        <f t="shared" si="0"/>
        <v>148188</v>
      </c>
    </row>
    <row r="10" spans="1:11" s="33" customFormat="1" ht="17.25" customHeight="1">
      <c r="B10" s="34" t="s">
        <v>33</v>
      </c>
      <c r="C10" s="40"/>
      <c r="D10" s="41"/>
      <c r="E10" s="42">
        <f t="shared" ref="E10:E11" si="1">C10*D10</f>
        <v>0</v>
      </c>
      <c r="F10" s="43"/>
      <c r="I10" s="53"/>
      <c r="J10" s="53"/>
      <c r="K10" s="53"/>
    </row>
    <row r="11" spans="1:11" s="33" customFormat="1" ht="17.25" customHeight="1">
      <c r="B11" s="39" t="s">
        <v>29</v>
      </c>
      <c r="C11" s="40">
        <v>52000</v>
      </c>
      <c r="D11" s="41">
        <v>2.85</v>
      </c>
      <c r="E11" s="42">
        <f t="shared" si="1"/>
        <v>148200</v>
      </c>
      <c r="F11" s="43"/>
    </row>
    <row r="12" spans="1:11" s="44" customFormat="1" ht="17.25" customHeight="1">
      <c r="B12" s="45" t="s">
        <v>30</v>
      </c>
      <c r="C12" s="46"/>
      <c r="D12" s="47"/>
      <c r="E12" s="48"/>
      <c r="F12" s="49"/>
    </row>
    <row r="13" spans="1:11" s="33" customFormat="1" ht="17.25" customHeight="1">
      <c r="B13" s="39"/>
      <c r="C13" s="40"/>
      <c r="D13" s="41"/>
      <c r="E13" s="42"/>
      <c r="F13" s="43"/>
    </row>
    <row r="14" spans="1:11" s="33" customFormat="1" ht="17.25" customHeight="1">
      <c r="B14" s="54"/>
      <c r="C14" s="55"/>
      <c r="D14" s="56"/>
      <c r="E14" s="57"/>
      <c r="F14" s="58"/>
    </row>
    <row r="15" spans="1:11" s="44" customFormat="1" ht="17.25" customHeight="1">
      <c r="B15" s="51" t="s">
        <v>32</v>
      </c>
      <c r="C15" s="52">
        <f>SUM(C10:C14)</f>
        <v>52000</v>
      </c>
      <c r="D15" s="52"/>
      <c r="E15" s="52">
        <f t="shared" ref="E15:F15" si="2">SUM(E10:E14)</f>
        <v>148200</v>
      </c>
      <c r="F15" s="52">
        <f t="shared" si="2"/>
        <v>0</v>
      </c>
    </row>
    <row r="16" spans="1:11" s="44" customFormat="1" ht="17.25" customHeight="1">
      <c r="B16" s="59"/>
      <c r="C16" s="60"/>
      <c r="D16" s="61"/>
      <c r="E16" s="62"/>
      <c r="F16" s="63"/>
      <c r="G16" s="64" t="s">
        <v>34</v>
      </c>
    </row>
    <row r="17" spans="1:15" s="104" customFormat="1" ht="36.75" customHeight="1">
      <c r="A17" s="102" t="s">
        <v>1</v>
      </c>
      <c r="B17" s="102" t="s">
        <v>26</v>
      </c>
      <c r="C17" s="65" t="s">
        <v>10</v>
      </c>
      <c r="D17" s="103" t="s">
        <v>11</v>
      </c>
      <c r="E17" s="103" t="s">
        <v>12</v>
      </c>
      <c r="G17" s="66" t="s">
        <v>35</v>
      </c>
      <c r="H17" s="66" t="s">
        <v>36</v>
      </c>
      <c r="I17" s="66" t="s">
        <v>26</v>
      </c>
      <c r="J17" s="66" t="s">
        <v>37</v>
      </c>
      <c r="K17" s="66" t="s">
        <v>88</v>
      </c>
      <c r="L17" s="65" t="s">
        <v>38</v>
      </c>
      <c r="M17" s="68" t="s">
        <v>39</v>
      </c>
      <c r="N17" s="68" t="s">
        <v>12</v>
      </c>
    </row>
    <row r="18" spans="1:15" ht="17.25" customHeight="1">
      <c r="A18" s="69">
        <f>ROW()-3</f>
        <v>15</v>
      </c>
      <c r="B18" s="70" t="s">
        <v>40</v>
      </c>
      <c r="C18" s="71">
        <f>52000*2</f>
        <v>104000</v>
      </c>
      <c r="D18" s="72">
        <v>300</v>
      </c>
      <c r="E18" s="72">
        <f t="shared" ref="E18:E25" si="3">C18*D18</f>
        <v>31200000</v>
      </c>
      <c r="G18" s="73">
        <v>42574</v>
      </c>
      <c r="H18" s="73">
        <v>42586</v>
      </c>
      <c r="I18" s="74" t="s">
        <v>41</v>
      </c>
      <c r="J18" s="75">
        <f>H18-G18+1</f>
        <v>13</v>
      </c>
      <c r="K18" s="112">
        <v>239</v>
      </c>
      <c r="L18" s="76">
        <v>3.1070000000000002</v>
      </c>
      <c r="M18" s="77">
        <v>18000</v>
      </c>
      <c r="N18" s="77">
        <f>M18*L18*J18</f>
        <v>727038.00000000012</v>
      </c>
      <c r="O18" s="78"/>
    </row>
    <row r="19" spans="1:15" ht="17.25" customHeight="1">
      <c r="A19" s="79">
        <f t="shared" ref="A19:A25" si="4">ROW()-3</f>
        <v>16</v>
      </c>
      <c r="B19" s="80" t="s">
        <v>42</v>
      </c>
      <c r="C19" s="81">
        <v>4</v>
      </c>
      <c r="D19" s="82">
        <v>2000000</v>
      </c>
      <c r="E19" s="82">
        <f t="shared" si="3"/>
        <v>8000000</v>
      </c>
      <c r="G19" s="83">
        <v>42575</v>
      </c>
      <c r="H19" s="83">
        <v>42586</v>
      </c>
      <c r="I19" s="74" t="s">
        <v>41</v>
      </c>
      <c r="J19" s="75">
        <f t="shared" ref="J19:J29" si="5">H19-G19+1</f>
        <v>12</v>
      </c>
      <c r="K19" s="112">
        <v>1761</v>
      </c>
      <c r="L19" s="84">
        <v>22.893000000000001</v>
      </c>
      <c r="M19" s="77">
        <v>18000</v>
      </c>
      <c r="N19" s="77">
        <f t="shared" ref="N19:N29" si="6">M19*L19*J19</f>
        <v>4944888</v>
      </c>
      <c r="O19" s="78"/>
    </row>
    <row r="20" spans="1:15" ht="17.25" customHeight="1">
      <c r="A20" s="79">
        <f t="shared" si="4"/>
        <v>17</v>
      </c>
      <c r="B20" s="80" t="s">
        <v>43</v>
      </c>
      <c r="C20" s="81">
        <v>4</v>
      </c>
      <c r="D20" s="82">
        <v>2000000</v>
      </c>
      <c r="E20" s="82">
        <f t="shared" si="3"/>
        <v>8000000</v>
      </c>
      <c r="G20" s="83">
        <v>42575</v>
      </c>
      <c r="H20" s="83">
        <v>42587</v>
      </c>
      <c r="I20" s="74" t="s">
        <v>41</v>
      </c>
      <c r="J20" s="75">
        <f t="shared" si="5"/>
        <v>13</v>
      </c>
      <c r="K20" s="112">
        <v>176</v>
      </c>
      <c r="L20" s="84">
        <v>2.2879999999999998</v>
      </c>
      <c r="M20" s="77">
        <v>18000</v>
      </c>
      <c r="N20" s="77">
        <f t="shared" si="6"/>
        <v>535392</v>
      </c>
      <c r="O20" s="78"/>
    </row>
    <row r="21" spans="1:15" ht="17.25" customHeight="1">
      <c r="A21" s="79">
        <f t="shared" si="4"/>
        <v>18</v>
      </c>
      <c r="B21" s="80" t="s">
        <v>44</v>
      </c>
      <c r="C21" s="81">
        <v>4</v>
      </c>
      <c r="D21" s="82">
        <v>600000</v>
      </c>
      <c r="E21" s="82">
        <f t="shared" si="3"/>
        <v>2400000</v>
      </c>
      <c r="G21" s="83">
        <v>42576</v>
      </c>
      <c r="H21" s="83">
        <v>42587</v>
      </c>
      <c r="I21" s="74" t="s">
        <v>41</v>
      </c>
      <c r="J21" s="75">
        <f t="shared" si="5"/>
        <v>12</v>
      </c>
      <c r="K21" s="112">
        <v>590</v>
      </c>
      <c r="L21" s="84">
        <v>7.67</v>
      </c>
      <c r="M21" s="77">
        <v>18000</v>
      </c>
      <c r="N21" s="77">
        <f t="shared" si="6"/>
        <v>1656720</v>
      </c>
      <c r="O21" s="78"/>
    </row>
    <row r="22" spans="1:15" ht="17.25" customHeight="1">
      <c r="A22" s="79">
        <f t="shared" si="4"/>
        <v>19</v>
      </c>
      <c r="B22" s="80" t="s">
        <v>45</v>
      </c>
      <c r="C22" s="81">
        <v>4</v>
      </c>
      <c r="D22" s="82">
        <v>15306800</v>
      </c>
      <c r="E22" s="82">
        <f>C22*D22</f>
        <v>61227200</v>
      </c>
      <c r="G22" s="83">
        <v>42577</v>
      </c>
      <c r="H22" s="83">
        <v>42587</v>
      </c>
      <c r="I22" s="74" t="s">
        <v>41</v>
      </c>
      <c r="J22" s="75">
        <f t="shared" si="5"/>
        <v>11</v>
      </c>
      <c r="K22" s="112">
        <v>1234</v>
      </c>
      <c r="L22" s="84">
        <v>16.042000000000002</v>
      </c>
      <c r="M22" s="77">
        <v>18000</v>
      </c>
      <c r="N22" s="77">
        <f t="shared" si="6"/>
        <v>3176316</v>
      </c>
      <c r="O22" s="78"/>
    </row>
    <row r="23" spans="1:15" ht="17.25" customHeight="1">
      <c r="A23" s="79">
        <f t="shared" si="4"/>
        <v>20</v>
      </c>
      <c r="B23" s="80" t="s">
        <v>46</v>
      </c>
      <c r="C23" s="81">
        <v>4</v>
      </c>
      <c r="D23" s="82">
        <v>7378778</v>
      </c>
      <c r="E23" s="82">
        <f t="shared" si="3"/>
        <v>29515112</v>
      </c>
      <c r="G23" s="83">
        <v>42577</v>
      </c>
      <c r="H23" s="83">
        <v>42593</v>
      </c>
      <c r="I23" s="74" t="s">
        <v>41</v>
      </c>
      <c r="J23" s="75">
        <f t="shared" si="5"/>
        <v>17</v>
      </c>
      <c r="K23" s="112">
        <v>138</v>
      </c>
      <c r="L23" s="84">
        <v>1.794</v>
      </c>
      <c r="M23" s="77">
        <v>18000</v>
      </c>
      <c r="N23" s="77">
        <f t="shared" si="6"/>
        <v>548964</v>
      </c>
      <c r="O23" s="78"/>
    </row>
    <row r="24" spans="1:15" ht="17.25" customHeight="1">
      <c r="A24" s="79">
        <f t="shared" si="4"/>
        <v>21</v>
      </c>
      <c r="B24" s="80" t="s">
        <v>47</v>
      </c>
      <c r="C24" s="81">
        <v>4</v>
      </c>
      <c r="D24" s="82">
        <v>5600000</v>
      </c>
      <c r="E24" s="82">
        <f t="shared" si="3"/>
        <v>22400000</v>
      </c>
      <c r="G24" s="83">
        <v>42578</v>
      </c>
      <c r="H24" s="83">
        <v>42593</v>
      </c>
      <c r="I24" s="74" t="s">
        <v>41</v>
      </c>
      <c r="J24" s="75">
        <f t="shared" si="5"/>
        <v>16</v>
      </c>
      <c r="K24" s="112">
        <v>1723</v>
      </c>
      <c r="L24" s="84">
        <v>22.399000000000001</v>
      </c>
      <c r="M24" s="77">
        <v>18000</v>
      </c>
      <c r="N24" s="77">
        <f t="shared" si="6"/>
        <v>6450912</v>
      </c>
      <c r="O24" s="78"/>
    </row>
    <row r="25" spans="1:15" ht="16.5" customHeight="1">
      <c r="A25" s="79">
        <f t="shared" si="4"/>
        <v>22</v>
      </c>
      <c r="B25" s="80" t="s">
        <v>48</v>
      </c>
      <c r="C25" s="81">
        <v>4</v>
      </c>
      <c r="D25" s="82">
        <f>88*22500</f>
        <v>1980000</v>
      </c>
      <c r="E25" s="82">
        <f t="shared" si="3"/>
        <v>7920000</v>
      </c>
      <c r="G25" s="83">
        <v>42579</v>
      </c>
      <c r="H25" s="83">
        <v>42593</v>
      </c>
      <c r="I25" s="74" t="s">
        <v>41</v>
      </c>
      <c r="J25" s="75">
        <f t="shared" si="5"/>
        <v>15</v>
      </c>
      <c r="K25" s="112">
        <v>139</v>
      </c>
      <c r="L25" s="84">
        <v>1.8069999999999999</v>
      </c>
      <c r="M25" s="77">
        <v>18000</v>
      </c>
      <c r="N25" s="77">
        <f t="shared" si="6"/>
        <v>487890</v>
      </c>
      <c r="O25" s="78"/>
    </row>
    <row r="26" spans="1:15" ht="16.5" customHeight="1">
      <c r="A26" s="79">
        <v>9</v>
      </c>
      <c r="B26" s="80" t="s">
        <v>49</v>
      </c>
      <c r="C26" s="81">
        <v>2</v>
      </c>
      <c r="D26" s="82">
        <v>1350000</v>
      </c>
      <c r="E26" s="82">
        <f>C26*D26</f>
        <v>2700000</v>
      </c>
      <c r="G26" s="83">
        <v>42579</v>
      </c>
      <c r="H26" s="83">
        <v>42594</v>
      </c>
      <c r="I26" s="74" t="s">
        <v>41</v>
      </c>
      <c r="J26" s="75">
        <f t="shared" si="5"/>
        <v>16</v>
      </c>
      <c r="K26" s="112">
        <v>911</v>
      </c>
      <c r="L26" s="84">
        <v>11.843</v>
      </c>
      <c r="M26" s="77">
        <v>18000</v>
      </c>
      <c r="N26" s="77">
        <f t="shared" si="6"/>
        <v>3410784</v>
      </c>
      <c r="O26" s="78"/>
    </row>
    <row r="27" spans="1:15" ht="17.25" customHeight="1">
      <c r="A27" s="79">
        <v>10</v>
      </c>
      <c r="B27" s="80" t="s">
        <v>50</v>
      </c>
      <c r="C27" s="81">
        <f>C18</f>
        <v>104000</v>
      </c>
      <c r="D27" s="82">
        <v>50</v>
      </c>
      <c r="E27" s="82">
        <f>C27*D27</f>
        <v>5200000</v>
      </c>
      <c r="G27" s="83">
        <v>42590</v>
      </c>
      <c r="H27" s="83">
        <v>42594</v>
      </c>
      <c r="I27" s="74" t="s">
        <v>41</v>
      </c>
      <c r="J27" s="75">
        <f>H27-G27+1</f>
        <v>5</v>
      </c>
      <c r="K27" s="112">
        <v>580</v>
      </c>
      <c r="L27" s="84">
        <v>7.54</v>
      </c>
      <c r="M27" s="77">
        <v>18000</v>
      </c>
      <c r="N27" s="77">
        <f>M27*L27*J27</f>
        <v>678600</v>
      </c>
      <c r="O27" s="78"/>
    </row>
    <row r="28" spans="1:15" ht="17.25" customHeight="1">
      <c r="A28" s="79">
        <v>11</v>
      </c>
      <c r="B28" s="80" t="s">
        <v>51</v>
      </c>
      <c r="C28" s="81"/>
      <c r="D28" s="82"/>
      <c r="E28" s="82">
        <f>N31</f>
        <v>22818510</v>
      </c>
      <c r="G28" s="83">
        <v>42593</v>
      </c>
      <c r="H28" s="83">
        <v>42594</v>
      </c>
      <c r="I28" s="74" t="s">
        <v>41</v>
      </c>
      <c r="J28" s="75">
        <f>H28-G28+1</f>
        <v>2</v>
      </c>
      <c r="K28" s="112">
        <v>350</v>
      </c>
      <c r="L28" s="84">
        <v>4.55</v>
      </c>
      <c r="M28" s="77">
        <v>18000</v>
      </c>
      <c r="N28" s="77">
        <f>M28*L28*J28</f>
        <v>163800</v>
      </c>
      <c r="O28" s="78"/>
    </row>
    <row r="29" spans="1:15" s="23" customFormat="1" ht="17.25" customHeight="1">
      <c r="A29" s="79">
        <v>12</v>
      </c>
      <c r="B29" s="80" t="s">
        <v>52</v>
      </c>
      <c r="C29" s="81"/>
      <c r="D29" s="82"/>
      <c r="E29" s="82">
        <v>1000000</v>
      </c>
      <c r="F29" s="24"/>
      <c r="G29" s="83">
        <v>42594</v>
      </c>
      <c r="H29" s="83">
        <v>42594</v>
      </c>
      <c r="I29" s="74" t="s">
        <v>41</v>
      </c>
      <c r="J29" s="75">
        <f t="shared" si="5"/>
        <v>1</v>
      </c>
      <c r="K29" s="112">
        <v>159</v>
      </c>
      <c r="L29" s="84">
        <v>2.0670000000000002</v>
      </c>
      <c r="M29" s="77">
        <v>18000</v>
      </c>
      <c r="N29" s="77">
        <f t="shared" si="6"/>
        <v>37206</v>
      </c>
      <c r="O29" s="78"/>
    </row>
    <row r="30" spans="1:15" ht="11.25" customHeight="1">
      <c r="A30" s="79"/>
      <c r="B30" s="80"/>
      <c r="C30" s="81"/>
      <c r="D30" s="82"/>
      <c r="E30" s="82"/>
      <c r="G30" s="85"/>
      <c r="H30" s="85"/>
      <c r="I30" s="86"/>
      <c r="J30" s="86"/>
      <c r="K30" s="113"/>
      <c r="L30" s="87"/>
      <c r="M30" s="88"/>
      <c r="N30" s="88">
        <f t="shared" ref="N30" si="7">L30*M30</f>
        <v>0</v>
      </c>
    </row>
    <row r="31" spans="1:15" ht="18.75" customHeight="1">
      <c r="A31" s="89"/>
      <c r="B31" s="89" t="s">
        <v>53</v>
      </c>
      <c r="C31" s="90"/>
      <c r="D31" s="91"/>
      <c r="E31" s="91">
        <f>SUM(E18:E30)</f>
        <v>202380822</v>
      </c>
      <c r="F31" s="23"/>
      <c r="G31" s="92"/>
      <c r="H31" s="92"/>
      <c r="I31" s="92" t="s">
        <v>53</v>
      </c>
      <c r="J31" s="92"/>
      <c r="K31" s="109">
        <f>SUM(K18:K30)</f>
        <v>8000</v>
      </c>
      <c r="L31" s="144">
        <f>SUM(L18:L30)</f>
        <v>104</v>
      </c>
      <c r="M31" s="93"/>
      <c r="N31" s="93">
        <f>SUM(N18:N30)</f>
        <v>22818510</v>
      </c>
    </row>
    <row r="32" spans="1:15" ht="18.75" customHeight="1"/>
    <row r="33" spans="1:11" s="22" customFormat="1">
      <c r="A33" s="24"/>
      <c r="B33" s="24"/>
      <c r="C33" s="25"/>
      <c r="D33" s="26" t="s">
        <v>54</v>
      </c>
      <c r="E33" s="26">
        <f>E31/C18</f>
        <v>1945.9694423076924</v>
      </c>
      <c r="F33" s="24"/>
    </row>
    <row r="35" spans="1:11" ht="33">
      <c r="A35" s="67" t="s">
        <v>1</v>
      </c>
      <c r="B35" s="66" t="s">
        <v>26</v>
      </c>
      <c r="C35" s="65" t="s">
        <v>55</v>
      </c>
      <c r="D35" s="68" t="s">
        <v>56</v>
      </c>
      <c r="E35" s="68" t="s">
        <v>12</v>
      </c>
      <c r="F35" s="68" t="s">
        <v>57</v>
      </c>
    </row>
    <row r="36" spans="1:11">
      <c r="A36" s="79">
        <v>1</v>
      </c>
      <c r="B36" s="80" t="s">
        <v>58</v>
      </c>
      <c r="C36" s="81">
        <f>F9</f>
        <v>148188</v>
      </c>
      <c r="D36" s="82">
        <v>22260</v>
      </c>
      <c r="E36" s="82">
        <f t="shared" ref="E36:E37" si="8">C36*D36</f>
        <v>3298664880</v>
      </c>
      <c r="F36" s="82"/>
    </row>
    <row r="37" spans="1:11">
      <c r="A37" s="79">
        <v>2</v>
      </c>
      <c r="B37" s="80" t="s">
        <v>59</v>
      </c>
      <c r="C37" s="81"/>
      <c r="D37" s="82"/>
      <c r="E37" s="82">
        <f t="shared" si="8"/>
        <v>0</v>
      </c>
      <c r="F37" s="82">
        <v>1416959000</v>
      </c>
      <c r="G37" s="94"/>
      <c r="H37" s="95"/>
      <c r="I37" s="94"/>
      <c r="J37" s="96"/>
      <c r="K37" s="96"/>
    </row>
    <row r="38" spans="1:11">
      <c r="A38" s="79">
        <v>3</v>
      </c>
      <c r="B38" s="80" t="s">
        <v>60</v>
      </c>
      <c r="C38" s="81"/>
      <c r="D38" s="82"/>
      <c r="E38" s="82">
        <f>C38*D38</f>
        <v>0</v>
      </c>
      <c r="F38" s="82">
        <v>1421958000</v>
      </c>
      <c r="G38" s="94"/>
      <c r="H38" s="95"/>
      <c r="I38" s="94"/>
      <c r="J38" s="96"/>
      <c r="K38" s="96"/>
    </row>
    <row r="39" spans="1:11">
      <c r="A39" s="79">
        <v>5</v>
      </c>
      <c r="B39" s="80" t="s">
        <v>61</v>
      </c>
      <c r="C39" s="81"/>
      <c r="D39" s="82"/>
      <c r="E39" s="82">
        <f>C39*D39</f>
        <v>0</v>
      </c>
      <c r="F39" s="82">
        <v>257367058</v>
      </c>
      <c r="G39" s="94"/>
      <c r="H39" s="95"/>
      <c r="I39" s="94"/>
      <c r="J39" s="96"/>
      <c r="K39" s="96"/>
    </row>
    <row r="40" spans="1:11">
      <c r="A40" s="86"/>
      <c r="B40" s="97"/>
      <c r="C40" s="98"/>
      <c r="D40" s="99"/>
      <c r="E40" s="99">
        <f>N41</f>
        <v>0</v>
      </c>
      <c r="F40" s="99"/>
    </row>
    <row r="41" spans="1:11">
      <c r="A41" s="89"/>
      <c r="B41" s="89" t="s">
        <v>62</v>
      </c>
      <c r="C41" s="90"/>
      <c r="D41" s="91"/>
      <c r="E41" s="91">
        <f>SUM(E36:E40)</f>
        <v>3298664880</v>
      </c>
      <c r="F41" s="91">
        <f>SUM(F36:F40)</f>
        <v>3096284058</v>
      </c>
    </row>
    <row r="43" spans="1:11">
      <c r="D43" s="100" t="s">
        <v>63</v>
      </c>
      <c r="F43" s="101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234"/>
  <sheetViews>
    <sheetView tabSelected="1" topLeftCell="A115" workbookViewId="0">
      <selection activeCell="F199" sqref="F199:I199"/>
    </sheetView>
  </sheetViews>
  <sheetFormatPr defaultColWidth="9.140625" defaultRowHeight="16.5"/>
  <cols>
    <col min="1" max="1" width="5.5703125" style="24" customWidth="1"/>
    <col min="2" max="2" width="33.28515625" style="24" customWidth="1"/>
    <col min="3" max="3" width="10.28515625" style="119" customWidth="1"/>
    <col min="4" max="4" width="12.42578125" style="26" customWidth="1"/>
    <col min="5" max="5" width="15.7109375" style="123" customWidth="1"/>
    <col min="6" max="6" width="2" style="24" customWidth="1"/>
    <col min="7" max="8" width="9.7109375" style="22" customWidth="1"/>
    <col min="9" max="9" width="22.140625" style="22" customWidth="1"/>
    <col min="10" max="10" width="9" style="22" customWidth="1"/>
    <col min="11" max="12" width="9.85546875" style="22" customWidth="1"/>
    <col min="13" max="13" width="11.140625" style="22" customWidth="1"/>
    <col min="14" max="14" width="13.28515625" style="22" customWidth="1"/>
    <col min="15" max="16384" width="9.140625" style="24"/>
  </cols>
  <sheetData>
    <row r="1" spans="1:15" ht="43.5" customHeight="1">
      <c r="A1" s="180" t="s">
        <v>82</v>
      </c>
      <c r="B1" s="180"/>
      <c r="C1" s="180"/>
      <c r="D1" s="180"/>
      <c r="E1" s="180"/>
      <c r="F1" s="107"/>
      <c r="G1" s="21"/>
      <c r="H1" s="21"/>
    </row>
    <row r="2" spans="1:15" s="44" customFormat="1" ht="17.25" customHeight="1">
      <c r="B2" s="59"/>
      <c r="C2" s="114"/>
      <c r="D2" s="106"/>
      <c r="E2" s="120"/>
      <c r="F2" s="63"/>
      <c r="G2" s="64" t="s">
        <v>34</v>
      </c>
      <c r="I2" s="111"/>
    </row>
    <row r="3" spans="1:15" s="110" customFormat="1" ht="36.75" customHeight="1">
      <c r="A3" s="66" t="s">
        <v>1</v>
      </c>
      <c r="B3" s="66" t="s">
        <v>26</v>
      </c>
      <c r="C3" s="115" t="s">
        <v>10</v>
      </c>
      <c r="D3" s="68" t="s">
        <v>11</v>
      </c>
      <c r="E3" s="68" t="s">
        <v>12</v>
      </c>
      <c r="G3" s="66" t="s">
        <v>35</v>
      </c>
      <c r="H3" s="66" t="s">
        <v>36</v>
      </c>
      <c r="I3" s="66" t="s">
        <v>108</v>
      </c>
      <c r="J3" s="66" t="s">
        <v>37</v>
      </c>
      <c r="K3" s="66" t="s">
        <v>88</v>
      </c>
      <c r="L3" s="65" t="s">
        <v>38</v>
      </c>
      <c r="M3" s="68" t="s">
        <v>111</v>
      </c>
      <c r="N3" s="68" t="s">
        <v>12</v>
      </c>
    </row>
    <row r="4" spans="1:15" ht="20.25" customHeight="1">
      <c r="A4" s="69">
        <f>ROW()-3</f>
        <v>1</v>
      </c>
      <c r="B4" s="70" t="s">
        <v>40</v>
      </c>
      <c r="C4" s="116">
        <v>52000</v>
      </c>
      <c r="D4" s="72">
        <v>300</v>
      </c>
      <c r="E4" s="121">
        <f t="shared" ref="E4:E15" si="0">C4*D4</f>
        <v>15600000</v>
      </c>
      <c r="G4" s="83">
        <v>42594</v>
      </c>
      <c r="H4" s="83"/>
      <c r="I4" s="75" t="s">
        <v>109</v>
      </c>
      <c r="J4" s="75" t="str">
        <f>IF(H4&lt;&gt;"",H4-G4+1,"")</f>
        <v/>
      </c>
      <c r="K4" s="75">
        <v>20</v>
      </c>
      <c r="L4" s="108">
        <f t="shared" ref="L4:L9" si="1">K4*13</f>
        <v>260</v>
      </c>
      <c r="M4" s="77"/>
      <c r="N4" s="77" t="str">
        <f>IF(J4&lt;&gt;"",M4*L4*J4/1000,"")</f>
        <v/>
      </c>
      <c r="O4" s="78"/>
    </row>
    <row r="5" spans="1:15" ht="20.25" customHeight="1">
      <c r="A5" s="79">
        <f t="shared" ref="A5:A15" si="2">ROW()-3</f>
        <v>2</v>
      </c>
      <c r="B5" s="80" t="s">
        <v>42</v>
      </c>
      <c r="C5" s="117">
        <v>2</v>
      </c>
      <c r="D5" s="82">
        <v>2000000</v>
      </c>
      <c r="E5" s="122">
        <f t="shared" si="0"/>
        <v>4000000</v>
      </c>
      <c r="G5" s="83">
        <v>42594</v>
      </c>
      <c r="H5" s="83"/>
      <c r="I5" s="75" t="s">
        <v>110</v>
      </c>
      <c r="J5" s="75" t="str">
        <f t="shared" ref="J5:J15" si="3">IF(H5&lt;&gt;"",H5-G5+1,"")</f>
        <v/>
      </c>
      <c r="K5" s="75">
        <v>8</v>
      </c>
      <c r="L5" s="108">
        <f t="shared" si="1"/>
        <v>104</v>
      </c>
      <c r="M5" s="77"/>
      <c r="N5" s="77" t="str">
        <f t="shared" ref="N5:N15" si="4">IF(J5&lt;&gt;"",M5*L5*J5/1000,"")</f>
        <v/>
      </c>
      <c r="O5" s="78"/>
    </row>
    <row r="6" spans="1:15" ht="20.25" customHeight="1">
      <c r="A6" s="79">
        <f t="shared" si="2"/>
        <v>3</v>
      </c>
      <c r="B6" s="80" t="s">
        <v>43</v>
      </c>
      <c r="C6" s="117">
        <v>2</v>
      </c>
      <c r="D6" s="82">
        <v>2000000</v>
      </c>
      <c r="E6" s="122">
        <f t="shared" si="0"/>
        <v>4000000</v>
      </c>
      <c r="G6" s="83"/>
      <c r="H6" s="83"/>
      <c r="I6" s="75" t="s">
        <v>116</v>
      </c>
      <c r="J6" s="75" t="str">
        <f t="shared" si="3"/>
        <v/>
      </c>
      <c r="K6" s="75">
        <v>-8</v>
      </c>
      <c r="L6" s="108">
        <f t="shared" si="1"/>
        <v>-104</v>
      </c>
      <c r="M6" s="77"/>
      <c r="N6" s="77" t="str">
        <f t="shared" si="4"/>
        <v/>
      </c>
      <c r="O6" s="78"/>
    </row>
    <row r="7" spans="1:15" ht="20.25" customHeight="1">
      <c r="A7" s="79">
        <f t="shared" si="2"/>
        <v>4</v>
      </c>
      <c r="B7" s="80" t="s">
        <v>44</v>
      </c>
      <c r="C7" s="117">
        <v>2</v>
      </c>
      <c r="D7" s="82">
        <v>600000</v>
      </c>
      <c r="E7" s="122">
        <f t="shared" si="0"/>
        <v>1200000</v>
      </c>
      <c r="G7" s="83"/>
      <c r="H7" s="83"/>
      <c r="I7" s="75"/>
      <c r="J7" s="75" t="str">
        <f t="shared" si="3"/>
        <v/>
      </c>
      <c r="K7" s="75"/>
      <c r="L7" s="108">
        <f t="shared" si="1"/>
        <v>0</v>
      </c>
      <c r="M7" s="77"/>
      <c r="N7" s="77" t="str">
        <f t="shared" si="4"/>
        <v/>
      </c>
      <c r="O7" s="78"/>
    </row>
    <row r="8" spans="1:15" ht="20.25" customHeight="1">
      <c r="A8" s="79">
        <f t="shared" si="2"/>
        <v>5</v>
      </c>
      <c r="B8" s="80" t="s">
        <v>80</v>
      </c>
      <c r="C8" s="117">
        <v>2</v>
      </c>
      <c r="D8" s="82">
        <v>16725000</v>
      </c>
      <c r="E8" s="122">
        <f>C8*D8</f>
        <v>33450000</v>
      </c>
      <c r="G8" s="83"/>
      <c r="H8" s="83"/>
      <c r="I8" s="75"/>
      <c r="J8" s="75" t="str">
        <f t="shared" si="3"/>
        <v/>
      </c>
      <c r="K8" s="75"/>
      <c r="L8" s="108">
        <f t="shared" si="1"/>
        <v>0</v>
      </c>
      <c r="M8" s="77"/>
      <c r="N8" s="77" t="str">
        <f t="shared" si="4"/>
        <v/>
      </c>
      <c r="O8" s="78"/>
    </row>
    <row r="9" spans="1:15" ht="20.25" customHeight="1">
      <c r="A9" s="79">
        <f t="shared" si="2"/>
        <v>6</v>
      </c>
      <c r="B9" s="80" t="s">
        <v>46</v>
      </c>
      <c r="C9" s="117">
        <v>2</v>
      </c>
      <c r="D9" s="82">
        <v>7378778</v>
      </c>
      <c r="E9" s="122">
        <f t="shared" si="0"/>
        <v>14757556</v>
      </c>
      <c r="G9" s="83"/>
      <c r="H9" s="83"/>
      <c r="I9" s="75"/>
      <c r="J9" s="75" t="str">
        <f t="shared" si="3"/>
        <v/>
      </c>
      <c r="K9" s="75"/>
      <c r="L9" s="108">
        <f t="shared" si="1"/>
        <v>0</v>
      </c>
      <c r="M9" s="77"/>
      <c r="N9" s="77" t="str">
        <f t="shared" si="4"/>
        <v/>
      </c>
      <c r="O9" s="78"/>
    </row>
    <row r="10" spans="1:15" ht="20.25" customHeight="1">
      <c r="A10" s="79">
        <f t="shared" si="2"/>
        <v>7</v>
      </c>
      <c r="B10" s="80" t="s">
        <v>81</v>
      </c>
      <c r="C10" s="117">
        <v>1</v>
      </c>
      <c r="D10" s="82">
        <v>13466740</v>
      </c>
      <c r="E10" s="122">
        <f t="shared" si="0"/>
        <v>13466740</v>
      </c>
      <c r="G10" s="83"/>
      <c r="H10" s="83"/>
      <c r="I10" s="75"/>
      <c r="J10" s="75" t="str">
        <f t="shared" si="3"/>
        <v/>
      </c>
      <c r="K10" s="75"/>
      <c r="L10" s="108"/>
      <c r="M10" s="77"/>
      <c r="N10" s="77" t="str">
        <f t="shared" si="4"/>
        <v/>
      </c>
      <c r="O10" s="78"/>
    </row>
    <row r="11" spans="1:15" ht="20.25" customHeight="1">
      <c r="A11" s="79">
        <f t="shared" si="2"/>
        <v>8</v>
      </c>
      <c r="B11" s="80" t="s">
        <v>112</v>
      </c>
      <c r="C11" s="117">
        <v>1</v>
      </c>
      <c r="D11" s="82">
        <v>5600000</v>
      </c>
      <c r="E11" s="122">
        <f t="shared" si="0"/>
        <v>5600000</v>
      </c>
      <c r="G11" s="83"/>
      <c r="H11" s="83"/>
      <c r="I11" s="75"/>
      <c r="J11" s="75" t="str">
        <f t="shared" si="3"/>
        <v/>
      </c>
      <c r="K11" s="75"/>
      <c r="L11" s="108"/>
      <c r="M11" s="77"/>
      <c r="N11" s="77" t="str">
        <f t="shared" si="4"/>
        <v/>
      </c>
      <c r="O11" s="78"/>
    </row>
    <row r="12" spans="1:15" ht="20.25" customHeight="1">
      <c r="A12" s="79">
        <f t="shared" si="2"/>
        <v>9</v>
      </c>
      <c r="B12" s="80" t="s">
        <v>48</v>
      </c>
      <c r="C12" s="117">
        <v>2</v>
      </c>
      <c r="D12" s="82">
        <f>88*22500</f>
        <v>1980000</v>
      </c>
      <c r="E12" s="122">
        <f t="shared" si="0"/>
        <v>3960000</v>
      </c>
      <c r="G12" s="83"/>
      <c r="H12" s="83"/>
      <c r="I12" s="75"/>
      <c r="J12" s="75" t="str">
        <f t="shared" si="3"/>
        <v/>
      </c>
      <c r="K12" s="75"/>
      <c r="L12" s="108"/>
      <c r="M12" s="77"/>
      <c r="N12" s="77" t="str">
        <f t="shared" si="4"/>
        <v/>
      </c>
      <c r="O12" s="78"/>
    </row>
    <row r="13" spans="1:15" ht="20.25" customHeight="1">
      <c r="A13" s="79">
        <f t="shared" si="2"/>
        <v>10</v>
      </c>
      <c r="B13" s="80" t="s">
        <v>49</v>
      </c>
      <c r="C13" s="117">
        <v>2</v>
      </c>
      <c r="D13" s="82">
        <v>1350000</v>
      </c>
      <c r="E13" s="122">
        <f t="shared" si="0"/>
        <v>2700000</v>
      </c>
      <c r="G13" s="83"/>
      <c r="H13" s="83"/>
      <c r="I13" s="75"/>
      <c r="J13" s="75" t="str">
        <f t="shared" si="3"/>
        <v/>
      </c>
      <c r="K13" s="75"/>
      <c r="L13" s="108"/>
      <c r="M13" s="77"/>
      <c r="N13" s="77" t="str">
        <f t="shared" si="4"/>
        <v/>
      </c>
      <c r="O13" s="78"/>
    </row>
    <row r="14" spans="1:15" ht="20.25" customHeight="1">
      <c r="A14" s="79">
        <f t="shared" si="2"/>
        <v>11</v>
      </c>
      <c r="B14" s="80" t="s">
        <v>84</v>
      </c>
      <c r="C14" s="117">
        <v>2</v>
      </c>
      <c r="D14" s="82">
        <v>2500000</v>
      </c>
      <c r="E14" s="122">
        <f t="shared" si="0"/>
        <v>5000000</v>
      </c>
      <c r="G14" s="83"/>
      <c r="H14" s="83"/>
      <c r="I14" s="75"/>
      <c r="J14" s="75" t="str">
        <f t="shared" si="3"/>
        <v/>
      </c>
      <c r="K14" s="75"/>
      <c r="L14" s="108"/>
      <c r="M14" s="77"/>
      <c r="N14" s="77" t="str">
        <f t="shared" si="4"/>
        <v/>
      </c>
      <c r="O14" s="78"/>
    </row>
    <row r="15" spans="1:15" ht="20.25" customHeight="1">
      <c r="A15" s="79">
        <f t="shared" si="2"/>
        <v>12</v>
      </c>
      <c r="B15" s="80" t="s">
        <v>50</v>
      </c>
      <c r="C15" s="117">
        <v>52</v>
      </c>
      <c r="D15" s="82">
        <v>50000</v>
      </c>
      <c r="E15" s="122">
        <f t="shared" si="0"/>
        <v>2600000</v>
      </c>
      <c r="G15" s="83"/>
      <c r="H15" s="83"/>
      <c r="I15" s="75"/>
      <c r="J15" s="75" t="str">
        <f t="shared" si="3"/>
        <v/>
      </c>
      <c r="K15" s="75"/>
      <c r="L15" s="108"/>
      <c r="M15" s="77"/>
      <c r="N15" s="77" t="str">
        <f t="shared" si="4"/>
        <v/>
      </c>
      <c r="O15" s="78"/>
    </row>
    <row r="16" spans="1:15" ht="8.25" customHeight="1">
      <c r="A16" s="79"/>
      <c r="B16" s="80"/>
      <c r="C16" s="117"/>
      <c r="D16" s="82"/>
      <c r="E16" s="122"/>
      <c r="G16" s="83"/>
      <c r="H16" s="83"/>
      <c r="I16" s="75"/>
      <c r="J16" s="75"/>
      <c r="K16" s="75"/>
      <c r="L16" s="108"/>
      <c r="M16" s="77"/>
      <c r="N16" s="77"/>
    </row>
    <row r="17" spans="1:15" ht="20.25" customHeight="1">
      <c r="A17" s="89"/>
      <c r="B17" s="89" t="s">
        <v>53</v>
      </c>
      <c r="C17" s="118"/>
      <c r="D17" s="91"/>
      <c r="E17" s="93">
        <f>SUM(E4:E16)</f>
        <v>106334296</v>
      </c>
      <c r="F17" s="23"/>
      <c r="G17" s="92"/>
      <c r="H17" s="92"/>
      <c r="I17" s="92" t="s">
        <v>53</v>
      </c>
      <c r="J17" s="92"/>
      <c r="K17" s="109">
        <f>SUM(K4:K16)</f>
        <v>20</v>
      </c>
      <c r="L17" s="109">
        <f t="shared" ref="L17" si="5">SUM(L4:L16)</f>
        <v>260</v>
      </c>
      <c r="M17" s="109"/>
      <c r="N17" s="93">
        <f>SUM(N4:N16)</f>
        <v>0</v>
      </c>
    </row>
    <row r="18" spans="1:15" ht="9" customHeight="1">
      <c r="G18" s="24"/>
      <c r="H18" s="24"/>
      <c r="J18" s="24"/>
      <c r="K18" s="24"/>
      <c r="L18" s="24"/>
      <c r="M18" s="24"/>
      <c r="N18" s="24"/>
    </row>
    <row r="19" spans="1:15" s="22" customFormat="1">
      <c r="A19" s="24"/>
      <c r="B19" s="24"/>
      <c r="C19" s="119"/>
      <c r="D19" s="26" t="s">
        <v>54</v>
      </c>
      <c r="E19" s="123">
        <f>E17/C4</f>
        <v>2044.8903076923077</v>
      </c>
      <c r="F19" s="24"/>
      <c r="G19" s="24"/>
      <c r="H19" s="24"/>
      <c r="J19" s="24"/>
      <c r="K19" s="24"/>
      <c r="L19" s="24"/>
      <c r="M19" s="24"/>
      <c r="N19" s="24"/>
    </row>
    <row r="21" spans="1:15" ht="43.5" customHeight="1">
      <c r="A21" s="180" t="s">
        <v>102</v>
      </c>
      <c r="B21" s="180"/>
      <c r="C21" s="180"/>
      <c r="D21" s="180"/>
      <c r="E21" s="180"/>
      <c r="F21" s="107"/>
      <c r="G21" s="21"/>
      <c r="H21" s="21"/>
    </row>
    <row r="22" spans="1:15" s="44" customFormat="1" ht="17.25" customHeight="1">
      <c r="B22" s="59"/>
      <c r="C22" s="114"/>
      <c r="D22" s="106"/>
      <c r="E22" s="120"/>
      <c r="F22" s="63"/>
      <c r="G22" s="64" t="s">
        <v>34</v>
      </c>
      <c r="I22" s="111"/>
    </row>
    <row r="23" spans="1:15" s="104" customFormat="1" ht="36.75" customHeight="1">
      <c r="A23" s="102" t="s">
        <v>1</v>
      </c>
      <c r="B23" s="102" t="s">
        <v>26</v>
      </c>
      <c r="C23" s="115" t="s">
        <v>10</v>
      </c>
      <c r="D23" s="103" t="s">
        <v>11</v>
      </c>
      <c r="E23" s="68" t="s">
        <v>12</v>
      </c>
      <c r="G23" s="66" t="s">
        <v>35</v>
      </c>
      <c r="H23" s="66" t="s">
        <v>36</v>
      </c>
      <c r="I23" s="66" t="s">
        <v>108</v>
      </c>
      <c r="J23" s="66" t="s">
        <v>37</v>
      </c>
      <c r="K23" s="66" t="s">
        <v>88</v>
      </c>
      <c r="L23" s="65" t="s">
        <v>38</v>
      </c>
      <c r="M23" s="68" t="s">
        <v>111</v>
      </c>
      <c r="N23" s="68" t="s">
        <v>12</v>
      </c>
    </row>
    <row r="24" spans="1:15" ht="19.5" customHeight="1">
      <c r="A24" s="79">
        <f>ROW()-23</f>
        <v>1</v>
      </c>
      <c r="B24" s="80" t="s">
        <v>50</v>
      </c>
      <c r="C24" s="117">
        <f>L28</f>
        <v>26260</v>
      </c>
      <c r="D24" s="82">
        <v>50</v>
      </c>
      <c r="E24" s="122">
        <f t="shared" ref="E24" si="6">C24*D24</f>
        <v>1313000</v>
      </c>
      <c r="G24" s="83">
        <v>42672</v>
      </c>
      <c r="H24" s="83">
        <v>42674</v>
      </c>
      <c r="I24" s="75" t="s">
        <v>92</v>
      </c>
      <c r="J24" s="75">
        <f>IF(H24&lt;&gt;"",H24-G24+1,"")</f>
        <v>3</v>
      </c>
      <c r="K24" s="75">
        <f>443-8</f>
        <v>435</v>
      </c>
      <c r="L24" s="108">
        <f t="shared" ref="L24:L26" si="7">K24*13</f>
        <v>5655</v>
      </c>
      <c r="M24" s="77">
        <v>20000</v>
      </c>
      <c r="N24" s="77">
        <f>IF(J24&lt;&gt;"",M24*L24*J24/1000,"")</f>
        <v>339300</v>
      </c>
      <c r="O24" s="78"/>
    </row>
    <row r="25" spans="1:15" ht="19.5" customHeight="1">
      <c r="A25" s="79">
        <f t="shared" ref="A25:A26" si="8">ROW()-23</f>
        <v>2</v>
      </c>
      <c r="B25" s="80" t="s">
        <v>128</v>
      </c>
      <c r="C25" s="117">
        <v>1</v>
      </c>
      <c r="D25" s="82">
        <v>2500000</v>
      </c>
      <c r="E25" s="122">
        <f t="shared" ref="E25" si="9">C25*D25</f>
        <v>2500000</v>
      </c>
      <c r="G25" s="83">
        <v>42672</v>
      </c>
      <c r="H25" s="83">
        <v>42674</v>
      </c>
      <c r="I25" s="75" t="s">
        <v>93</v>
      </c>
      <c r="J25" s="75">
        <f t="shared" ref="J25:J26" si="10">IF(H25&lt;&gt;"",H25-G25+1,"")</f>
        <v>3</v>
      </c>
      <c r="K25" s="75">
        <v>426</v>
      </c>
      <c r="L25" s="108">
        <f t="shared" si="7"/>
        <v>5538</v>
      </c>
      <c r="M25" s="77">
        <v>20000</v>
      </c>
      <c r="N25" s="77">
        <f t="shared" ref="N25:N26" si="11">IF(J25&lt;&gt;"",M25*L25*J25/1000,"")</f>
        <v>332280</v>
      </c>
      <c r="O25" s="78"/>
    </row>
    <row r="26" spans="1:15" ht="19.5" customHeight="1">
      <c r="A26" s="79">
        <f t="shared" si="8"/>
        <v>3</v>
      </c>
      <c r="B26" s="80" t="s">
        <v>51</v>
      </c>
      <c r="C26" s="117"/>
      <c r="D26" s="82"/>
      <c r="E26" s="122">
        <f>N28</f>
        <v>1274260</v>
      </c>
      <c r="G26" s="83">
        <v>42673</v>
      </c>
      <c r="H26" s="83">
        <v>42674</v>
      </c>
      <c r="I26" s="75" t="s">
        <v>94</v>
      </c>
      <c r="J26" s="75">
        <f t="shared" si="10"/>
        <v>2</v>
      </c>
      <c r="K26" s="75">
        <v>1159</v>
      </c>
      <c r="L26" s="108">
        <f t="shared" si="7"/>
        <v>15067</v>
      </c>
      <c r="M26" s="77">
        <v>20000</v>
      </c>
      <c r="N26" s="77">
        <f t="shared" si="11"/>
        <v>602680</v>
      </c>
      <c r="O26" s="78"/>
    </row>
    <row r="27" spans="1:15" ht="9.75" customHeight="1">
      <c r="A27" s="79"/>
      <c r="B27" s="80"/>
      <c r="C27" s="117"/>
      <c r="D27" s="82"/>
      <c r="E27" s="122"/>
      <c r="G27" s="85"/>
      <c r="H27" s="85"/>
      <c r="I27" s="86"/>
      <c r="J27" s="86"/>
      <c r="K27" s="86"/>
      <c r="L27" s="87"/>
      <c r="M27" s="88"/>
      <c r="N27" s="88"/>
    </row>
    <row r="28" spans="1:15" ht="19.5" customHeight="1">
      <c r="A28" s="89"/>
      <c r="B28" s="89" t="s">
        <v>53</v>
      </c>
      <c r="C28" s="118"/>
      <c r="D28" s="91"/>
      <c r="E28" s="93">
        <f>SUM(E24:E27)</f>
        <v>5087260</v>
      </c>
      <c r="F28" s="23"/>
      <c r="G28" s="92"/>
      <c r="H28" s="92"/>
      <c r="I28" s="92" t="s">
        <v>53</v>
      </c>
      <c r="J28" s="92"/>
      <c r="K28" s="109">
        <f>SUM(K24:K27)</f>
        <v>2020</v>
      </c>
      <c r="L28" s="109">
        <f>SUM(L24:L27)</f>
        <v>26260</v>
      </c>
      <c r="M28" s="93"/>
      <c r="N28" s="93">
        <f>SUM(N24:N27)</f>
        <v>1274260</v>
      </c>
    </row>
    <row r="29" spans="1:15" ht="8.25" customHeight="1"/>
    <row r="30" spans="1:15" s="22" customFormat="1">
      <c r="A30" s="24"/>
      <c r="B30" s="24"/>
      <c r="C30" s="119"/>
      <c r="D30" s="26" t="s">
        <v>54</v>
      </c>
      <c r="E30" s="123">
        <f>E28/C24</f>
        <v>193.72658035034272</v>
      </c>
      <c r="F30" s="24"/>
    </row>
    <row r="31" spans="1:15" ht="26.25" customHeight="1"/>
    <row r="32" spans="1:15" ht="43.5" customHeight="1">
      <c r="A32" s="180" t="s">
        <v>83</v>
      </c>
      <c r="B32" s="180"/>
      <c r="C32" s="180"/>
      <c r="D32" s="180"/>
      <c r="E32" s="180"/>
      <c r="F32" s="107"/>
      <c r="G32" s="21"/>
      <c r="H32" s="21"/>
    </row>
    <row r="33" spans="1:15" s="44" customFormat="1" ht="17.25" customHeight="1">
      <c r="B33" s="59"/>
      <c r="C33" s="114"/>
      <c r="D33" s="106"/>
      <c r="E33" s="120"/>
      <c r="F33" s="63"/>
      <c r="G33" s="64" t="s">
        <v>34</v>
      </c>
      <c r="I33" s="111"/>
    </row>
    <row r="34" spans="1:15" s="104" customFormat="1" ht="36.75" customHeight="1">
      <c r="A34" s="102" t="s">
        <v>1</v>
      </c>
      <c r="B34" s="102" t="s">
        <v>26</v>
      </c>
      <c r="C34" s="115" t="s">
        <v>10</v>
      </c>
      <c r="D34" s="103" t="s">
        <v>11</v>
      </c>
      <c r="E34" s="68" t="s">
        <v>12</v>
      </c>
      <c r="G34" s="66" t="s">
        <v>35</v>
      </c>
      <c r="H34" s="66" t="s">
        <v>36</v>
      </c>
      <c r="I34" s="66" t="s">
        <v>108</v>
      </c>
      <c r="J34" s="66" t="s">
        <v>37</v>
      </c>
      <c r="K34" s="66" t="s">
        <v>88</v>
      </c>
      <c r="L34" s="65" t="s">
        <v>38</v>
      </c>
      <c r="M34" s="68" t="s">
        <v>111</v>
      </c>
      <c r="N34" s="68" t="s">
        <v>12</v>
      </c>
    </row>
    <row r="35" spans="1:15" ht="18.75" customHeight="1">
      <c r="A35" s="79">
        <f>ROW()-34</f>
        <v>1</v>
      </c>
      <c r="B35" s="70" t="s">
        <v>40</v>
      </c>
      <c r="C35" s="116">
        <f>26000*6</f>
        <v>156000</v>
      </c>
      <c r="D35" s="72">
        <v>300</v>
      </c>
      <c r="E35" s="121">
        <f t="shared" ref="E35:E38" si="12">C35*D35</f>
        <v>46800000</v>
      </c>
      <c r="G35" s="83">
        <v>42668</v>
      </c>
      <c r="H35" s="83">
        <v>42673</v>
      </c>
      <c r="I35" s="75" t="s">
        <v>89</v>
      </c>
      <c r="J35" s="75">
        <f>IF(H35&lt;&gt;"",H35-G35+1,"")</f>
        <v>6</v>
      </c>
      <c r="K35" s="75">
        <v>220</v>
      </c>
      <c r="L35" s="108">
        <f>K35*13</f>
        <v>2860</v>
      </c>
      <c r="M35" s="77">
        <v>20000</v>
      </c>
      <c r="N35" s="77">
        <f>IF(J35&lt;&gt;"",M35*L35*J35/1000,"")</f>
        <v>343200</v>
      </c>
      <c r="O35" s="78"/>
    </row>
    <row r="36" spans="1:15" ht="18.75" customHeight="1">
      <c r="A36" s="79">
        <f t="shared" ref="A36:A46" si="13">ROW()-34</f>
        <v>2</v>
      </c>
      <c r="B36" s="80" t="s">
        <v>42</v>
      </c>
      <c r="C36" s="117">
        <v>6</v>
      </c>
      <c r="D36" s="82">
        <v>2000000</v>
      </c>
      <c r="E36" s="122">
        <f t="shared" si="12"/>
        <v>12000000</v>
      </c>
      <c r="G36" s="83">
        <v>42670</v>
      </c>
      <c r="H36" s="83">
        <v>42673</v>
      </c>
      <c r="I36" s="75" t="s">
        <v>89</v>
      </c>
      <c r="J36" s="75">
        <f t="shared" ref="J36:J49" si="14">IF(H36&lt;&gt;"",H36-G36+1,"")</f>
        <v>4</v>
      </c>
      <c r="K36" s="75">
        <v>419</v>
      </c>
      <c r="L36" s="108">
        <f t="shared" ref="L36:L40" si="15">K36*13</f>
        <v>5447</v>
      </c>
      <c r="M36" s="77">
        <v>20000</v>
      </c>
      <c r="N36" s="77">
        <f t="shared" ref="N36:N49" si="16">IF(J36&lt;&gt;"",M36*L36*J36/1000,"")</f>
        <v>435760</v>
      </c>
      <c r="O36" s="78"/>
    </row>
    <row r="37" spans="1:15" ht="18.75" customHeight="1">
      <c r="A37" s="79">
        <f t="shared" si="13"/>
        <v>3</v>
      </c>
      <c r="B37" s="80" t="s">
        <v>43</v>
      </c>
      <c r="C37" s="117">
        <v>6</v>
      </c>
      <c r="D37" s="82">
        <v>2000000</v>
      </c>
      <c r="E37" s="122">
        <f t="shared" si="12"/>
        <v>12000000</v>
      </c>
      <c r="G37" s="83">
        <v>42671</v>
      </c>
      <c r="H37" s="83">
        <v>42673</v>
      </c>
      <c r="I37" s="75" t="s">
        <v>90</v>
      </c>
      <c r="J37" s="75">
        <f t="shared" si="14"/>
        <v>3</v>
      </c>
      <c r="K37" s="75">
        <v>445</v>
      </c>
      <c r="L37" s="108">
        <f t="shared" si="15"/>
        <v>5785</v>
      </c>
      <c r="M37" s="77">
        <v>20000</v>
      </c>
      <c r="N37" s="77">
        <f t="shared" si="16"/>
        <v>347100</v>
      </c>
      <c r="O37" s="78"/>
    </row>
    <row r="38" spans="1:15" ht="18.75" customHeight="1">
      <c r="A38" s="79">
        <f t="shared" si="13"/>
        <v>4</v>
      </c>
      <c r="B38" s="80" t="s">
        <v>44</v>
      </c>
      <c r="C38" s="117">
        <v>6</v>
      </c>
      <c r="D38" s="82">
        <v>600000</v>
      </c>
      <c r="E38" s="122">
        <f t="shared" si="12"/>
        <v>3600000</v>
      </c>
      <c r="G38" s="83">
        <v>42672</v>
      </c>
      <c r="H38" s="83">
        <v>42673</v>
      </c>
      <c r="I38" s="75" t="s">
        <v>91</v>
      </c>
      <c r="J38" s="75">
        <f t="shared" si="14"/>
        <v>2</v>
      </c>
      <c r="K38" s="75">
        <v>398</v>
      </c>
      <c r="L38" s="108">
        <f t="shared" si="15"/>
        <v>5174</v>
      </c>
      <c r="M38" s="77">
        <v>20000</v>
      </c>
      <c r="N38" s="77">
        <f t="shared" si="16"/>
        <v>206960</v>
      </c>
      <c r="O38" s="78"/>
    </row>
    <row r="39" spans="1:15" ht="18.75" customHeight="1">
      <c r="A39" s="79">
        <f t="shared" si="13"/>
        <v>5</v>
      </c>
      <c r="B39" s="80" t="s">
        <v>80</v>
      </c>
      <c r="C39" s="117">
        <v>6</v>
      </c>
      <c r="D39" s="82">
        <v>16725000</v>
      </c>
      <c r="E39" s="122">
        <f>C39*D39</f>
        <v>100350000</v>
      </c>
      <c r="G39" s="83">
        <v>42672</v>
      </c>
      <c r="H39" s="83">
        <v>42673</v>
      </c>
      <c r="I39" s="75" t="s">
        <v>89</v>
      </c>
      <c r="J39" s="75">
        <f t="shared" si="14"/>
        <v>2</v>
      </c>
      <c r="K39" s="75">
        <v>510</v>
      </c>
      <c r="L39" s="108">
        <f t="shared" si="15"/>
        <v>6630</v>
      </c>
      <c r="M39" s="77">
        <v>20000</v>
      </c>
      <c r="N39" s="77">
        <f t="shared" si="16"/>
        <v>265200</v>
      </c>
      <c r="O39" s="78"/>
    </row>
    <row r="40" spans="1:15" ht="18.75" customHeight="1">
      <c r="A40" s="79">
        <f t="shared" si="13"/>
        <v>6</v>
      </c>
      <c r="B40" s="80" t="s">
        <v>46</v>
      </c>
      <c r="C40" s="117">
        <v>6</v>
      </c>
      <c r="D40" s="82">
        <v>7378778</v>
      </c>
      <c r="E40" s="122">
        <f t="shared" ref="E40:E42" si="17">C40*D40</f>
        <v>44272668</v>
      </c>
      <c r="G40" s="83">
        <v>42672</v>
      </c>
      <c r="H40" s="83">
        <v>42673</v>
      </c>
      <c r="I40" s="75" t="s">
        <v>92</v>
      </c>
      <c r="J40" s="75">
        <f t="shared" si="14"/>
        <v>2</v>
      </c>
      <c r="K40" s="75">
        <v>8</v>
      </c>
      <c r="L40" s="108">
        <f t="shared" si="15"/>
        <v>104</v>
      </c>
      <c r="M40" s="77">
        <v>20000</v>
      </c>
      <c r="N40" s="77">
        <f t="shared" si="16"/>
        <v>4160</v>
      </c>
      <c r="O40" s="78"/>
    </row>
    <row r="41" spans="1:15" ht="18.75" customHeight="1">
      <c r="A41" s="79">
        <f t="shared" si="13"/>
        <v>7</v>
      </c>
      <c r="B41" s="80" t="s">
        <v>47</v>
      </c>
      <c r="C41" s="117">
        <v>6</v>
      </c>
      <c r="D41" s="82">
        <v>5600000</v>
      </c>
      <c r="E41" s="122">
        <f t="shared" si="17"/>
        <v>33600000</v>
      </c>
      <c r="G41" s="83">
        <v>42673</v>
      </c>
      <c r="H41" s="83">
        <v>42677</v>
      </c>
      <c r="I41" s="75" t="s">
        <v>94</v>
      </c>
      <c r="J41" s="75">
        <f t="shared" si="14"/>
        <v>5</v>
      </c>
      <c r="K41" s="75">
        <v>841</v>
      </c>
      <c r="L41" s="108">
        <f t="shared" ref="L41:L49" si="18">K41*13</f>
        <v>10933</v>
      </c>
      <c r="M41" s="77">
        <v>20000</v>
      </c>
      <c r="N41" s="77">
        <f t="shared" si="16"/>
        <v>1093300</v>
      </c>
      <c r="O41" s="78"/>
    </row>
    <row r="42" spans="1:15" ht="18.75" customHeight="1">
      <c r="A42" s="79">
        <f t="shared" si="13"/>
        <v>8</v>
      </c>
      <c r="B42" s="80" t="s">
        <v>48</v>
      </c>
      <c r="C42" s="117">
        <v>6</v>
      </c>
      <c r="D42" s="82">
        <f>88*22500</f>
        <v>1980000</v>
      </c>
      <c r="E42" s="122">
        <f t="shared" si="17"/>
        <v>11880000</v>
      </c>
      <c r="G42" s="83">
        <v>42674</v>
      </c>
      <c r="H42" s="83">
        <v>42677</v>
      </c>
      <c r="I42" s="75" t="s">
        <v>93</v>
      </c>
      <c r="J42" s="75">
        <f t="shared" si="14"/>
        <v>4</v>
      </c>
      <c r="K42" s="75">
        <v>385</v>
      </c>
      <c r="L42" s="108">
        <f t="shared" si="18"/>
        <v>5005</v>
      </c>
      <c r="M42" s="77">
        <v>20000</v>
      </c>
      <c r="N42" s="77">
        <f t="shared" si="16"/>
        <v>400400</v>
      </c>
      <c r="O42" s="78"/>
    </row>
    <row r="43" spans="1:15" ht="18.75" customHeight="1">
      <c r="A43" s="79">
        <f t="shared" si="13"/>
        <v>9</v>
      </c>
      <c r="B43" s="80" t="s">
        <v>49</v>
      </c>
      <c r="C43" s="117">
        <v>6</v>
      </c>
      <c r="D43" s="82">
        <v>1350000</v>
      </c>
      <c r="E43" s="122">
        <f>C43*D43</f>
        <v>8100000</v>
      </c>
      <c r="G43" s="83">
        <v>42674</v>
      </c>
      <c r="H43" s="83">
        <v>42677</v>
      </c>
      <c r="I43" s="75" t="s">
        <v>106</v>
      </c>
      <c r="J43" s="75">
        <f t="shared" si="14"/>
        <v>4</v>
      </c>
      <c r="K43" s="75">
        <v>370</v>
      </c>
      <c r="L43" s="108">
        <f t="shared" si="18"/>
        <v>4810</v>
      </c>
      <c r="M43" s="77">
        <v>20000</v>
      </c>
      <c r="N43" s="77">
        <f t="shared" si="16"/>
        <v>384800</v>
      </c>
      <c r="O43" s="78"/>
    </row>
    <row r="44" spans="1:15" ht="18.75" customHeight="1">
      <c r="A44" s="79">
        <f t="shared" si="13"/>
        <v>10</v>
      </c>
      <c r="B44" s="80" t="s">
        <v>84</v>
      </c>
      <c r="C44" s="117">
        <v>6</v>
      </c>
      <c r="D44" s="82">
        <v>2500000</v>
      </c>
      <c r="E44" s="122">
        <f t="shared" ref="E44" si="19">C44*D44</f>
        <v>15000000</v>
      </c>
      <c r="G44" s="83">
        <v>42674</v>
      </c>
      <c r="H44" s="83">
        <v>42677</v>
      </c>
      <c r="I44" s="75" t="s">
        <v>107</v>
      </c>
      <c r="J44" s="75">
        <f t="shared" si="14"/>
        <v>4</v>
      </c>
      <c r="K44" s="75">
        <v>445</v>
      </c>
      <c r="L44" s="108">
        <f t="shared" si="18"/>
        <v>5785</v>
      </c>
      <c r="M44" s="77">
        <v>20000</v>
      </c>
      <c r="N44" s="77">
        <f t="shared" si="16"/>
        <v>462800</v>
      </c>
      <c r="O44" s="78"/>
    </row>
    <row r="45" spans="1:15" ht="18.75" customHeight="1">
      <c r="A45" s="79">
        <f t="shared" si="13"/>
        <v>11</v>
      </c>
      <c r="B45" s="80" t="s">
        <v>50</v>
      </c>
      <c r="C45" s="117">
        <v>156</v>
      </c>
      <c r="D45" s="82">
        <v>50000</v>
      </c>
      <c r="E45" s="122">
        <f>C45*D45</f>
        <v>7800000</v>
      </c>
      <c r="G45" s="83">
        <v>42675</v>
      </c>
      <c r="H45" s="83">
        <v>42677</v>
      </c>
      <c r="I45" s="75" t="s">
        <v>95</v>
      </c>
      <c r="J45" s="75">
        <f t="shared" si="14"/>
        <v>3</v>
      </c>
      <c r="K45" s="75">
        <v>612</v>
      </c>
      <c r="L45" s="108">
        <f t="shared" si="18"/>
        <v>7956</v>
      </c>
      <c r="M45" s="77">
        <v>20000</v>
      </c>
      <c r="N45" s="77">
        <f t="shared" si="16"/>
        <v>477360</v>
      </c>
      <c r="O45" s="78"/>
    </row>
    <row r="46" spans="1:15" ht="18.75" customHeight="1">
      <c r="A46" s="79">
        <f t="shared" si="13"/>
        <v>12</v>
      </c>
      <c r="B46" s="80" t="s">
        <v>51</v>
      </c>
      <c r="C46" s="117"/>
      <c r="D46" s="82"/>
      <c r="E46" s="122">
        <f>N51</f>
        <v>4771260</v>
      </c>
      <c r="G46" s="83">
        <v>42677</v>
      </c>
      <c r="H46" s="83">
        <v>42677</v>
      </c>
      <c r="I46" s="75" t="s">
        <v>96</v>
      </c>
      <c r="J46" s="75">
        <f t="shared" si="14"/>
        <v>1</v>
      </c>
      <c r="K46" s="75">
        <v>370</v>
      </c>
      <c r="L46" s="108">
        <f t="shared" si="18"/>
        <v>4810</v>
      </c>
      <c r="M46" s="77">
        <v>20000</v>
      </c>
      <c r="N46" s="77">
        <f t="shared" si="16"/>
        <v>96200</v>
      </c>
      <c r="O46" s="78"/>
    </row>
    <row r="47" spans="1:15" ht="18.75" customHeight="1">
      <c r="A47" s="79"/>
      <c r="B47" s="80"/>
      <c r="C47" s="117"/>
      <c r="D47" s="82"/>
      <c r="E47" s="122"/>
      <c r="G47" s="83">
        <v>42677</v>
      </c>
      <c r="H47" s="83">
        <v>42677</v>
      </c>
      <c r="I47" s="75" t="s">
        <v>97</v>
      </c>
      <c r="J47" s="75">
        <f t="shared" si="14"/>
        <v>1</v>
      </c>
      <c r="K47" s="75">
        <v>442</v>
      </c>
      <c r="L47" s="108">
        <f t="shared" si="18"/>
        <v>5746</v>
      </c>
      <c r="M47" s="77">
        <v>20000</v>
      </c>
      <c r="N47" s="77">
        <f t="shared" si="16"/>
        <v>114920</v>
      </c>
      <c r="O47" s="78"/>
    </row>
    <row r="48" spans="1:15" ht="18.75" customHeight="1">
      <c r="A48" s="79"/>
      <c r="B48" s="80"/>
      <c r="C48" s="117"/>
      <c r="D48" s="82"/>
      <c r="E48" s="122"/>
      <c r="G48" s="83">
        <v>42677</v>
      </c>
      <c r="H48" s="83">
        <v>42677</v>
      </c>
      <c r="I48" s="75" t="s">
        <v>98</v>
      </c>
      <c r="J48" s="75">
        <f t="shared" si="14"/>
        <v>1</v>
      </c>
      <c r="K48" s="75">
        <v>384</v>
      </c>
      <c r="L48" s="108">
        <f t="shared" si="18"/>
        <v>4992</v>
      </c>
      <c r="M48" s="77">
        <v>20000</v>
      </c>
      <c r="N48" s="77">
        <f t="shared" si="16"/>
        <v>99840</v>
      </c>
      <c r="O48" s="78"/>
    </row>
    <row r="49" spans="1:15" ht="18.75" customHeight="1">
      <c r="A49" s="79"/>
      <c r="B49" s="80"/>
      <c r="C49" s="117"/>
      <c r="D49" s="82"/>
      <c r="E49" s="122"/>
      <c r="G49" s="83">
        <v>42677</v>
      </c>
      <c r="H49" s="83">
        <v>42677</v>
      </c>
      <c r="I49" s="75" t="s">
        <v>94</v>
      </c>
      <c r="J49" s="75">
        <f t="shared" si="14"/>
        <v>1</v>
      </c>
      <c r="K49" s="75">
        <v>151</v>
      </c>
      <c r="L49" s="108">
        <f t="shared" si="18"/>
        <v>1963</v>
      </c>
      <c r="M49" s="77">
        <v>20000</v>
      </c>
      <c r="N49" s="77">
        <f t="shared" si="16"/>
        <v>39260</v>
      </c>
      <c r="O49" s="78"/>
    </row>
    <row r="50" spans="1:15" ht="11.25" customHeight="1">
      <c r="A50" s="79"/>
      <c r="B50" s="80"/>
      <c r="C50" s="117"/>
      <c r="D50" s="82"/>
      <c r="E50" s="122"/>
      <c r="G50" s="85"/>
      <c r="H50" s="85"/>
      <c r="I50" s="86"/>
      <c r="J50" s="86"/>
      <c r="K50" s="86"/>
      <c r="L50" s="87"/>
      <c r="M50" s="88"/>
      <c r="N50" s="88"/>
    </row>
    <row r="51" spans="1:15" ht="20.25" customHeight="1">
      <c r="A51" s="89"/>
      <c r="B51" s="89" t="s">
        <v>53</v>
      </c>
      <c r="C51" s="118"/>
      <c r="D51" s="91"/>
      <c r="E51" s="93">
        <f>SUM(E35:E50)</f>
        <v>300173928</v>
      </c>
      <c r="F51" s="23"/>
      <c r="G51" s="92"/>
      <c r="H51" s="92"/>
      <c r="I51" s="92" t="s">
        <v>53</v>
      </c>
      <c r="J51" s="92"/>
      <c r="K51" s="109">
        <f>SUM(K35:K50)</f>
        <v>6000</v>
      </c>
      <c r="L51" s="109">
        <f t="shared" ref="L51" si="20">SUM(L35:L50)</f>
        <v>78000</v>
      </c>
      <c r="M51" s="109"/>
      <c r="N51" s="93">
        <f>SUM(N35:N50)</f>
        <v>4771260</v>
      </c>
    </row>
    <row r="52" spans="1:15" ht="6" customHeight="1"/>
    <row r="53" spans="1:15" s="22" customFormat="1">
      <c r="A53" s="24"/>
      <c r="B53" s="24"/>
      <c r="C53" s="119"/>
      <c r="D53" s="26" t="s">
        <v>54</v>
      </c>
      <c r="E53" s="123">
        <f>E51/C35</f>
        <v>1924.1918461538462</v>
      </c>
      <c r="F53" s="24"/>
    </row>
    <row r="55" spans="1:15" ht="43.5" customHeight="1">
      <c r="A55" s="180" t="s">
        <v>114</v>
      </c>
      <c r="B55" s="180"/>
      <c r="C55" s="180"/>
      <c r="D55" s="180"/>
      <c r="E55" s="180"/>
      <c r="F55" s="107"/>
      <c r="G55" s="21"/>
      <c r="H55" s="21"/>
    </row>
    <row r="56" spans="1:15" s="44" customFormat="1" ht="17.25" customHeight="1">
      <c r="B56" s="59"/>
      <c r="C56" s="114"/>
      <c r="D56" s="106"/>
      <c r="E56" s="120"/>
      <c r="F56" s="63"/>
      <c r="G56" s="64" t="s">
        <v>34</v>
      </c>
      <c r="I56" s="111"/>
    </row>
    <row r="57" spans="1:15" s="104" customFormat="1" ht="36.75" customHeight="1">
      <c r="A57" s="102" t="s">
        <v>1</v>
      </c>
      <c r="B57" s="102" t="s">
        <v>26</v>
      </c>
      <c r="C57" s="115" t="s">
        <v>10</v>
      </c>
      <c r="D57" s="103" t="s">
        <v>11</v>
      </c>
      <c r="E57" s="68" t="s">
        <v>12</v>
      </c>
      <c r="G57" s="66" t="s">
        <v>35</v>
      </c>
      <c r="H57" s="66" t="s">
        <v>36</v>
      </c>
      <c r="I57" s="66" t="s">
        <v>108</v>
      </c>
      <c r="J57" s="66" t="s">
        <v>37</v>
      </c>
      <c r="K57" s="66" t="s">
        <v>88</v>
      </c>
      <c r="L57" s="65" t="s">
        <v>38</v>
      </c>
      <c r="M57" s="68" t="s">
        <v>111</v>
      </c>
      <c r="N57" s="68" t="s">
        <v>12</v>
      </c>
    </row>
    <row r="58" spans="1:15" ht="18.75" customHeight="1">
      <c r="A58" s="79">
        <f>ROW()-57</f>
        <v>1</v>
      </c>
      <c r="B58" s="70" t="s">
        <v>40</v>
      </c>
      <c r="C58" s="116">
        <f>52000*2</f>
        <v>104000</v>
      </c>
      <c r="D58" s="72">
        <v>300</v>
      </c>
      <c r="E58" s="121">
        <f t="shared" ref="E58:E61" si="21">C58*D58</f>
        <v>31200000</v>
      </c>
      <c r="G58" s="83">
        <v>42677</v>
      </c>
      <c r="H58" s="83">
        <v>42682</v>
      </c>
      <c r="I58" s="75" t="s">
        <v>94</v>
      </c>
      <c r="J58" s="75">
        <f>IF(H58&lt;&gt;"",H58-G58+1,"")</f>
        <v>6</v>
      </c>
      <c r="K58" s="75">
        <f>2000-151</f>
        <v>1849</v>
      </c>
      <c r="L58" s="108">
        <f t="shared" ref="L58:L70" si="22">K58*13</f>
        <v>24037</v>
      </c>
      <c r="M58" s="77">
        <v>20000</v>
      </c>
      <c r="N58" s="77">
        <f>IF(J58&lt;&gt;"",M58*L58*J58/1000,"")</f>
        <v>2884440</v>
      </c>
      <c r="O58" s="78"/>
    </row>
    <row r="59" spans="1:15" ht="18.75" customHeight="1">
      <c r="A59" s="79">
        <f t="shared" ref="A59:A70" si="23">ROW()-57</f>
        <v>2</v>
      </c>
      <c r="B59" s="80" t="s">
        <v>42</v>
      </c>
      <c r="C59" s="117">
        <v>4</v>
      </c>
      <c r="D59" s="82">
        <v>2000000</v>
      </c>
      <c r="E59" s="122">
        <f t="shared" si="21"/>
        <v>8000000</v>
      </c>
      <c r="G59" s="83">
        <v>42678</v>
      </c>
      <c r="H59" s="83">
        <v>42682</v>
      </c>
      <c r="I59" s="75" t="s">
        <v>93</v>
      </c>
      <c r="J59" s="75">
        <f t="shared" ref="J59:J70" si="24">IF(H59&lt;&gt;"",H59-G59+1,"")</f>
        <v>5</v>
      </c>
      <c r="K59" s="75">
        <v>430</v>
      </c>
      <c r="L59" s="108">
        <f t="shared" si="22"/>
        <v>5590</v>
      </c>
      <c r="M59" s="77">
        <v>20000</v>
      </c>
      <c r="N59" s="77">
        <f t="shared" ref="N59:N70" si="25">IF(J59&lt;&gt;"",M59*L59*J59/1000,"")</f>
        <v>559000</v>
      </c>
      <c r="O59" s="78"/>
    </row>
    <row r="60" spans="1:15" ht="18.75" customHeight="1">
      <c r="A60" s="79">
        <f t="shared" si="23"/>
        <v>3</v>
      </c>
      <c r="B60" s="80" t="s">
        <v>43</v>
      </c>
      <c r="C60" s="117">
        <v>4</v>
      </c>
      <c r="D60" s="82">
        <v>2000000</v>
      </c>
      <c r="E60" s="122">
        <f t="shared" si="21"/>
        <v>8000000</v>
      </c>
      <c r="G60" s="83">
        <v>42679</v>
      </c>
      <c r="H60" s="83">
        <v>42682</v>
      </c>
      <c r="I60" s="75" t="s">
        <v>96</v>
      </c>
      <c r="J60" s="75">
        <f t="shared" si="24"/>
        <v>4</v>
      </c>
      <c r="K60" s="75">
        <v>370</v>
      </c>
      <c r="L60" s="108">
        <f t="shared" si="22"/>
        <v>4810</v>
      </c>
      <c r="M60" s="77">
        <v>20000</v>
      </c>
      <c r="N60" s="77">
        <f t="shared" si="25"/>
        <v>384800</v>
      </c>
      <c r="O60" s="78"/>
    </row>
    <row r="61" spans="1:15" ht="18.75" customHeight="1">
      <c r="A61" s="79">
        <f t="shared" si="23"/>
        <v>4</v>
      </c>
      <c r="B61" s="80" t="s">
        <v>44</v>
      </c>
      <c r="C61" s="117">
        <v>4</v>
      </c>
      <c r="D61" s="82">
        <v>600000</v>
      </c>
      <c r="E61" s="122">
        <f t="shared" si="21"/>
        <v>2400000</v>
      </c>
      <c r="G61" s="83">
        <v>42679</v>
      </c>
      <c r="H61" s="83">
        <v>42682</v>
      </c>
      <c r="I61" s="75" t="s">
        <v>99</v>
      </c>
      <c r="J61" s="75">
        <f t="shared" si="24"/>
        <v>4</v>
      </c>
      <c r="K61" s="75">
        <v>445</v>
      </c>
      <c r="L61" s="108">
        <f t="shared" si="22"/>
        <v>5785</v>
      </c>
      <c r="M61" s="77">
        <v>20000</v>
      </c>
      <c r="N61" s="77">
        <f t="shared" si="25"/>
        <v>462800</v>
      </c>
      <c r="O61" s="78"/>
    </row>
    <row r="62" spans="1:15" ht="18.75" customHeight="1">
      <c r="A62" s="79">
        <f t="shared" si="23"/>
        <v>5</v>
      </c>
      <c r="B62" s="80" t="s">
        <v>80</v>
      </c>
      <c r="C62" s="117">
        <v>4</v>
      </c>
      <c r="D62" s="82">
        <v>16725000</v>
      </c>
      <c r="E62" s="122">
        <f>C62*D62</f>
        <v>66900000</v>
      </c>
      <c r="G62" s="83">
        <v>42679</v>
      </c>
      <c r="H62" s="83">
        <v>42682</v>
      </c>
      <c r="I62" s="75" t="s">
        <v>100</v>
      </c>
      <c r="J62" s="75">
        <f t="shared" si="24"/>
        <v>4</v>
      </c>
      <c r="K62" s="75">
        <v>541</v>
      </c>
      <c r="L62" s="108">
        <f t="shared" si="22"/>
        <v>7033</v>
      </c>
      <c r="M62" s="77">
        <v>20000</v>
      </c>
      <c r="N62" s="77">
        <f t="shared" si="25"/>
        <v>562640</v>
      </c>
      <c r="O62" s="78"/>
    </row>
    <row r="63" spans="1:15" ht="18.75" customHeight="1">
      <c r="A63" s="79">
        <f t="shared" si="23"/>
        <v>6</v>
      </c>
      <c r="B63" s="80" t="s">
        <v>46</v>
      </c>
      <c r="C63" s="117">
        <v>4</v>
      </c>
      <c r="D63" s="82">
        <v>7378778</v>
      </c>
      <c r="E63" s="122">
        <f t="shared" ref="E63:E65" si="26">C63*D63</f>
        <v>29515112</v>
      </c>
      <c r="G63" s="83">
        <v>42679</v>
      </c>
      <c r="H63" s="83">
        <v>42682</v>
      </c>
      <c r="I63" s="75" t="s">
        <v>91</v>
      </c>
      <c r="J63" s="75">
        <f t="shared" si="24"/>
        <v>4</v>
      </c>
      <c r="K63" s="75">
        <f>520-155</f>
        <v>365</v>
      </c>
      <c r="L63" s="108">
        <f t="shared" si="22"/>
        <v>4745</v>
      </c>
      <c r="M63" s="77">
        <v>20000</v>
      </c>
      <c r="N63" s="77">
        <f t="shared" si="25"/>
        <v>379600</v>
      </c>
      <c r="O63" s="78"/>
    </row>
    <row r="64" spans="1:15" ht="18.75" customHeight="1">
      <c r="A64" s="79">
        <f t="shared" si="23"/>
        <v>7</v>
      </c>
      <c r="B64" s="80" t="s">
        <v>47</v>
      </c>
      <c r="C64" s="117">
        <v>4</v>
      </c>
      <c r="D64" s="82">
        <v>5600000</v>
      </c>
      <c r="E64" s="122">
        <f t="shared" si="26"/>
        <v>22400000</v>
      </c>
      <c r="G64" s="83">
        <v>42679</v>
      </c>
      <c r="H64" s="83">
        <v>42684</v>
      </c>
      <c r="I64" s="75" t="s">
        <v>101</v>
      </c>
      <c r="J64" s="75">
        <f t="shared" si="24"/>
        <v>6</v>
      </c>
      <c r="K64" s="75">
        <v>2000</v>
      </c>
      <c r="L64" s="108">
        <f t="shared" si="22"/>
        <v>26000</v>
      </c>
      <c r="M64" s="77">
        <v>20000</v>
      </c>
      <c r="N64" s="77">
        <f t="shared" si="25"/>
        <v>3120000</v>
      </c>
      <c r="O64" s="78"/>
    </row>
    <row r="65" spans="1:15" ht="18.75" customHeight="1">
      <c r="A65" s="79">
        <f t="shared" si="23"/>
        <v>8</v>
      </c>
      <c r="B65" s="80" t="s">
        <v>48</v>
      </c>
      <c r="C65" s="117">
        <v>4</v>
      </c>
      <c r="D65" s="82">
        <f>88*22500</f>
        <v>1980000</v>
      </c>
      <c r="E65" s="122">
        <f t="shared" si="26"/>
        <v>7920000</v>
      </c>
      <c r="G65" s="83">
        <v>42679</v>
      </c>
      <c r="H65" s="83">
        <v>42685</v>
      </c>
      <c r="I65" s="75" t="s">
        <v>91</v>
      </c>
      <c r="J65" s="75">
        <f t="shared" si="24"/>
        <v>7</v>
      </c>
      <c r="K65" s="75">
        <v>155</v>
      </c>
      <c r="L65" s="108">
        <f t="shared" si="22"/>
        <v>2015</v>
      </c>
      <c r="M65" s="77">
        <v>20000</v>
      </c>
      <c r="N65" s="77">
        <f t="shared" si="25"/>
        <v>282100</v>
      </c>
      <c r="O65" s="78"/>
    </row>
    <row r="66" spans="1:15" ht="18.75" customHeight="1">
      <c r="A66" s="79">
        <f t="shared" si="23"/>
        <v>9</v>
      </c>
      <c r="B66" s="80" t="s">
        <v>49</v>
      </c>
      <c r="C66" s="117">
        <v>4</v>
      </c>
      <c r="D66" s="82">
        <v>1350000</v>
      </c>
      <c r="E66" s="122">
        <f>C66*D66</f>
        <v>5400000</v>
      </c>
      <c r="G66" s="83">
        <v>42679</v>
      </c>
      <c r="H66" s="83">
        <v>42685</v>
      </c>
      <c r="I66" s="75" t="s">
        <v>95</v>
      </c>
      <c r="J66" s="75">
        <f t="shared" si="24"/>
        <v>7</v>
      </c>
      <c r="K66" s="75">
        <v>507</v>
      </c>
      <c r="L66" s="108">
        <f t="shared" si="22"/>
        <v>6591</v>
      </c>
      <c r="M66" s="77">
        <v>20000</v>
      </c>
      <c r="N66" s="77">
        <f t="shared" si="25"/>
        <v>922740</v>
      </c>
      <c r="O66" s="78"/>
    </row>
    <row r="67" spans="1:15" ht="18.75" customHeight="1">
      <c r="A67" s="79">
        <f t="shared" si="23"/>
        <v>10</v>
      </c>
      <c r="B67" s="80" t="s">
        <v>84</v>
      </c>
      <c r="C67" s="117">
        <v>4</v>
      </c>
      <c r="D67" s="82">
        <v>2500000</v>
      </c>
      <c r="E67" s="122">
        <f t="shared" ref="E67" si="27">C67*D67</f>
        <v>10000000</v>
      </c>
      <c r="G67" s="83">
        <v>42680</v>
      </c>
      <c r="H67" s="83">
        <v>42685</v>
      </c>
      <c r="I67" s="75" t="s">
        <v>103</v>
      </c>
      <c r="J67" s="75">
        <f t="shared" si="24"/>
        <v>6</v>
      </c>
      <c r="K67" s="75">
        <v>300</v>
      </c>
      <c r="L67" s="108">
        <f t="shared" si="22"/>
        <v>3900</v>
      </c>
      <c r="M67" s="77">
        <v>20000</v>
      </c>
      <c r="N67" s="77">
        <f t="shared" si="25"/>
        <v>468000</v>
      </c>
      <c r="O67" s="78"/>
    </row>
    <row r="68" spans="1:15" ht="18.75" customHeight="1">
      <c r="A68" s="79">
        <f t="shared" si="23"/>
        <v>11</v>
      </c>
      <c r="B68" s="80" t="s">
        <v>50</v>
      </c>
      <c r="C68" s="117">
        <v>104</v>
      </c>
      <c r="D68" s="82">
        <v>50000</v>
      </c>
      <c r="E68" s="122">
        <f>C68*D68</f>
        <v>5200000</v>
      </c>
      <c r="G68" s="83">
        <v>42680</v>
      </c>
      <c r="H68" s="83">
        <v>42685</v>
      </c>
      <c r="I68" s="75" t="s">
        <v>89</v>
      </c>
      <c r="J68" s="75">
        <f t="shared" si="24"/>
        <v>6</v>
      </c>
      <c r="K68" s="75">
        <f>332-13</f>
        <v>319</v>
      </c>
      <c r="L68" s="108">
        <f t="shared" si="22"/>
        <v>4147</v>
      </c>
      <c r="M68" s="77">
        <v>20000</v>
      </c>
      <c r="N68" s="77">
        <f t="shared" si="25"/>
        <v>497640</v>
      </c>
      <c r="O68" s="78"/>
    </row>
    <row r="69" spans="1:15" ht="18.75" customHeight="1">
      <c r="A69" s="79">
        <f t="shared" si="23"/>
        <v>12</v>
      </c>
      <c r="B69" s="80" t="s">
        <v>51</v>
      </c>
      <c r="C69" s="117"/>
      <c r="D69" s="82"/>
      <c r="E69" s="122">
        <f>N73</f>
        <v>11458460</v>
      </c>
      <c r="G69" s="83">
        <v>42681</v>
      </c>
      <c r="H69" s="83">
        <v>42685</v>
      </c>
      <c r="I69" s="75" t="s">
        <v>115</v>
      </c>
      <c r="J69" s="75">
        <f t="shared" si="24"/>
        <v>5</v>
      </c>
      <c r="K69" s="75">
        <v>11</v>
      </c>
      <c r="L69" s="108">
        <f t="shared" si="22"/>
        <v>143</v>
      </c>
      <c r="M69" s="77">
        <v>20000</v>
      </c>
      <c r="N69" s="77">
        <f t="shared" si="25"/>
        <v>14300</v>
      </c>
      <c r="O69" s="78"/>
    </row>
    <row r="70" spans="1:15" ht="18.75" customHeight="1">
      <c r="A70" s="79">
        <f t="shared" si="23"/>
        <v>13</v>
      </c>
      <c r="B70" s="80" t="s">
        <v>129</v>
      </c>
      <c r="C70" s="117"/>
      <c r="D70" s="82"/>
      <c r="E70" s="122">
        <v>1791144</v>
      </c>
      <c r="G70" s="83">
        <v>42681</v>
      </c>
      <c r="H70" s="83">
        <v>42685</v>
      </c>
      <c r="I70" s="75" t="s">
        <v>104</v>
      </c>
      <c r="J70" s="75">
        <f t="shared" si="24"/>
        <v>5</v>
      </c>
      <c r="K70" s="75">
        <f>2000-1292</f>
        <v>708</v>
      </c>
      <c r="L70" s="108">
        <f t="shared" si="22"/>
        <v>9204</v>
      </c>
      <c r="M70" s="77">
        <v>20000</v>
      </c>
      <c r="N70" s="77">
        <f t="shared" si="25"/>
        <v>920400</v>
      </c>
      <c r="O70" s="78"/>
    </row>
    <row r="71" spans="1:15" ht="18.75" customHeight="1">
      <c r="A71" s="79"/>
      <c r="B71" s="80"/>
      <c r="C71" s="117"/>
      <c r="D71" s="82"/>
      <c r="E71" s="122"/>
      <c r="G71" s="83"/>
      <c r="H71" s="83"/>
      <c r="I71" s="75"/>
      <c r="J71" s="75"/>
      <c r="K71" s="75"/>
      <c r="L71" s="108"/>
      <c r="M71" s="77"/>
      <c r="N71" s="77"/>
      <c r="O71" s="78"/>
    </row>
    <row r="72" spans="1:15" ht="8.25" customHeight="1">
      <c r="A72" s="79"/>
      <c r="B72" s="80"/>
      <c r="C72" s="117"/>
      <c r="D72" s="82"/>
      <c r="E72" s="122"/>
      <c r="G72" s="83"/>
      <c r="H72" s="83"/>
      <c r="I72" s="75"/>
      <c r="J72" s="75"/>
      <c r="K72" s="75"/>
      <c r="L72" s="108"/>
      <c r="M72" s="77"/>
      <c r="N72" s="77"/>
    </row>
    <row r="73" spans="1:15" ht="18.75" customHeight="1">
      <c r="A73" s="89"/>
      <c r="B73" s="89" t="s">
        <v>53</v>
      </c>
      <c r="C73" s="118"/>
      <c r="D73" s="91"/>
      <c r="E73" s="93">
        <f>SUM(E58:E72)</f>
        <v>210184716</v>
      </c>
      <c r="F73" s="23"/>
      <c r="G73" s="92"/>
      <c r="H73" s="92"/>
      <c r="I73" s="92" t="s">
        <v>53</v>
      </c>
      <c r="J73" s="92"/>
      <c r="K73" s="109">
        <f>SUM(K58:K72)</f>
        <v>8000</v>
      </c>
      <c r="L73" s="109">
        <f>SUM(L58:L72)</f>
        <v>104000</v>
      </c>
      <c r="M73" s="109"/>
      <c r="N73" s="93">
        <f>SUM(N58:N72)</f>
        <v>11458460</v>
      </c>
    </row>
    <row r="74" spans="1:15" ht="5.25" customHeight="1"/>
    <row r="75" spans="1:15" s="22" customFormat="1">
      <c r="A75" s="24"/>
      <c r="B75" s="24"/>
      <c r="C75" s="119"/>
      <c r="D75" s="26" t="s">
        <v>54</v>
      </c>
      <c r="E75" s="123">
        <f>E73/C58</f>
        <v>2021.0068846153847</v>
      </c>
      <c r="F75" s="24"/>
    </row>
    <row r="77" spans="1:15" s="128" customFormat="1" ht="25.5" customHeight="1">
      <c r="A77" s="92" t="s">
        <v>1</v>
      </c>
      <c r="B77" s="193" t="s">
        <v>26</v>
      </c>
      <c r="C77" s="193"/>
      <c r="D77" s="193"/>
      <c r="E77" s="127" t="s">
        <v>12</v>
      </c>
      <c r="G77" s="129"/>
      <c r="H77" s="129"/>
      <c r="I77" s="129"/>
      <c r="J77" s="129"/>
      <c r="K77" s="129"/>
      <c r="L77" s="129"/>
      <c r="M77" s="129"/>
      <c r="N77" s="129"/>
    </row>
    <row r="78" spans="1:15" s="128" customFormat="1" ht="16.5" customHeight="1">
      <c r="A78" s="75">
        <v>1</v>
      </c>
      <c r="B78" s="194" t="s">
        <v>118</v>
      </c>
      <c r="C78" s="194"/>
      <c r="D78" s="194"/>
      <c r="E78" s="135">
        <f>E17</f>
        <v>106334296</v>
      </c>
      <c r="G78" s="129"/>
      <c r="H78" s="129"/>
      <c r="I78" s="129"/>
      <c r="J78" s="129"/>
      <c r="K78" s="129"/>
      <c r="L78" s="129"/>
      <c r="M78" s="129"/>
      <c r="N78" s="129"/>
    </row>
    <row r="79" spans="1:15" s="128" customFormat="1" ht="16.5" customHeight="1">
      <c r="A79" s="79">
        <v>2</v>
      </c>
      <c r="B79" s="195" t="s">
        <v>119</v>
      </c>
      <c r="C79" s="195"/>
      <c r="D79" s="195"/>
      <c r="E79" s="82">
        <f>E28</f>
        <v>5087260</v>
      </c>
      <c r="G79" s="129"/>
      <c r="H79" s="129"/>
      <c r="I79" s="129"/>
      <c r="J79" s="129"/>
      <c r="K79" s="129"/>
      <c r="L79" s="129"/>
      <c r="M79" s="129"/>
      <c r="N79" s="129"/>
    </row>
    <row r="80" spans="1:15" s="128" customFormat="1" ht="16.5" customHeight="1">
      <c r="A80" s="79">
        <v>3</v>
      </c>
      <c r="B80" s="195" t="s">
        <v>120</v>
      </c>
      <c r="C80" s="195"/>
      <c r="D80" s="195"/>
      <c r="E80" s="82">
        <f>E51</f>
        <v>300173928</v>
      </c>
      <c r="G80" s="129"/>
      <c r="H80" s="129"/>
      <c r="I80" s="129"/>
      <c r="J80" s="129"/>
      <c r="K80" s="129"/>
      <c r="L80" s="129"/>
      <c r="M80" s="129"/>
      <c r="N80" s="129"/>
    </row>
    <row r="81" spans="1:14" s="128" customFormat="1" ht="16.5" customHeight="1">
      <c r="A81" s="79">
        <v>4</v>
      </c>
      <c r="B81" s="195" t="s">
        <v>121</v>
      </c>
      <c r="C81" s="195"/>
      <c r="D81" s="195"/>
      <c r="E81" s="82">
        <f>E73</f>
        <v>210184716</v>
      </c>
      <c r="G81" s="129"/>
      <c r="H81" s="129"/>
      <c r="I81" s="129"/>
      <c r="J81" s="129"/>
      <c r="K81" s="129"/>
      <c r="L81" s="129"/>
      <c r="M81" s="129"/>
      <c r="N81" s="129"/>
    </row>
    <row r="82" spans="1:14" s="128" customFormat="1" ht="10.5" customHeight="1">
      <c r="A82" s="86"/>
      <c r="B82" s="196"/>
      <c r="C82" s="196"/>
      <c r="D82" s="196"/>
      <c r="E82" s="99"/>
      <c r="G82" s="129"/>
      <c r="H82" s="129"/>
      <c r="I82" s="129"/>
      <c r="J82" s="129"/>
      <c r="K82" s="129"/>
      <c r="L82" s="129"/>
      <c r="M82" s="129"/>
      <c r="N82" s="129"/>
    </row>
    <row r="83" spans="1:14" s="128" customFormat="1" ht="16.5" customHeight="1">
      <c r="A83" s="89"/>
      <c r="B83" s="197" t="s">
        <v>62</v>
      </c>
      <c r="C83" s="197"/>
      <c r="D83" s="197"/>
      <c r="E83" s="91">
        <f>SUM(E78:E82)</f>
        <v>621780200</v>
      </c>
      <c r="G83" s="129"/>
      <c r="H83" s="129"/>
      <c r="I83" s="138"/>
      <c r="J83" s="129"/>
      <c r="K83" s="129"/>
      <c r="L83" s="129"/>
      <c r="M83" s="129"/>
      <c r="N83" s="129"/>
    </row>
    <row r="84" spans="1:14">
      <c r="I84" s="140">
        <f>E90-E83-F87-I87</f>
        <v>535921987.46000004</v>
      </c>
    </row>
    <row r="85" spans="1:14" ht="31.5" customHeight="1">
      <c r="A85" s="92" t="s">
        <v>1</v>
      </c>
      <c r="B85" s="125" t="s">
        <v>26</v>
      </c>
      <c r="C85" s="126" t="s">
        <v>55</v>
      </c>
      <c r="D85" s="127" t="s">
        <v>56</v>
      </c>
      <c r="E85" s="127" t="s">
        <v>12</v>
      </c>
      <c r="F85" s="190" t="s">
        <v>122</v>
      </c>
      <c r="G85" s="191"/>
      <c r="H85" s="192"/>
      <c r="I85" s="127" t="s">
        <v>57</v>
      </c>
    </row>
    <row r="86" spans="1:14">
      <c r="A86" s="79">
        <v>1</v>
      </c>
      <c r="B86" s="80" t="s">
        <v>117</v>
      </c>
      <c r="C86" s="82">
        <v>145588</v>
      </c>
      <c r="D86" s="82">
        <v>22285</v>
      </c>
      <c r="E86" s="82">
        <f>C86*D86</f>
        <v>3244428580</v>
      </c>
      <c r="F86" s="187"/>
      <c r="G86" s="188"/>
      <c r="H86" s="189"/>
      <c r="I86" s="82"/>
    </row>
    <row r="87" spans="1:14">
      <c r="A87" s="79">
        <v>2</v>
      </c>
      <c r="B87" s="80" t="s">
        <v>60</v>
      </c>
      <c r="C87" s="81"/>
      <c r="D87" s="82"/>
      <c r="E87" s="82">
        <f t="shared" ref="E87" si="28">C87*D87</f>
        <v>0</v>
      </c>
      <c r="F87" s="187">
        <f>I87*0.033%</f>
        <v>688392.54</v>
      </c>
      <c r="G87" s="188"/>
      <c r="H87" s="189"/>
      <c r="I87" s="82">
        <v>2086038000</v>
      </c>
    </row>
    <row r="88" spans="1:14">
      <c r="A88" s="79">
        <v>3</v>
      </c>
      <c r="B88" s="80" t="s">
        <v>61</v>
      </c>
      <c r="C88" s="81"/>
      <c r="D88" s="82"/>
      <c r="E88" s="82">
        <f>C88*D88</f>
        <v>0</v>
      </c>
      <c r="F88" s="187">
        <f>I84*0.033%</f>
        <v>176854.25586180002</v>
      </c>
      <c r="G88" s="188"/>
      <c r="H88" s="189"/>
      <c r="I88" s="82">
        <f>I84-F88</f>
        <v>535745133.20413822</v>
      </c>
    </row>
    <row r="89" spans="1:14" ht="6" customHeight="1">
      <c r="A89" s="133"/>
      <c r="B89" s="136"/>
      <c r="C89" s="137"/>
      <c r="D89" s="134"/>
      <c r="E89" s="134"/>
      <c r="F89" s="181"/>
      <c r="G89" s="182"/>
      <c r="H89" s="183"/>
      <c r="I89" s="134"/>
    </row>
    <row r="90" spans="1:14">
      <c r="A90" s="89"/>
      <c r="B90" s="89" t="s">
        <v>62</v>
      </c>
      <c r="C90" s="90"/>
      <c r="D90" s="91"/>
      <c r="E90" s="91">
        <f>SUM(E86:E89)</f>
        <v>3244428580</v>
      </c>
      <c r="F90" s="184">
        <f>SUM(F86:H89)</f>
        <v>865246.79586180008</v>
      </c>
      <c r="G90" s="185"/>
      <c r="H90" s="186"/>
      <c r="I90" s="91">
        <f>SUM(I86:I89)</f>
        <v>2621783133.2041383</v>
      </c>
    </row>
    <row r="91" spans="1:14">
      <c r="A91" s="130"/>
      <c r="B91" s="130"/>
      <c r="C91" s="131"/>
      <c r="D91" s="132"/>
      <c r="E91" s="132"/>
    </row>
    <row r="92" spans="1:14" ht="31.5" customHeight="1">
      <c r="A92" s="92" t="s">
        <v>1</v>
      </c>
      <c r="B92" s="139" t="s">
        <v>26</v>
      </c>
      <c r="C92" s="126" t="s">
        <v>55</v>
      </c>
      <c r="D92" s="127" t="s">
        <v>56</v>
      </c>
      <c r="E92" s="127" t="s">
        <v>12</v>
      </c>
      <c r="F92" s="190" t="s">
        <v>122</v>
      </c>
      <c r="G92" s="191"/>
      <c r="H92" s="192"/>
      <c r="I92" s="127" t="s">
        <v>57</v>
      </c>
    </row>
    <row r="93" spans="1:14">
      <c r="A93" s="79">
        <v>1</v>
      </c>
      <c r="B93" s="80" t="s">
        <v>135</v>
      </c>
      <c r="C93" s="82">
        <v>145588</v>
      </c>
      <c r="D93" s="82">
        <v>22290</v>
      </c>
      <c r="E93" s="82">
        <f>C93*D93</f>
        <v>3245156520</v>
      </c>
      <c r="F93" s="198"/>
      <c r="G93" s="199"/>
      <c r="H93" s="200"/>
      <c r="I93" s="82"/>
    </row>
    <row r="94" spans="1:14">
      <c r="A94" s="79">
        <v>2</v>
      </c>
      <c r="B94" s="80" t="s">
        <v>129</v>
      </c>
      <c r="C94" s="82"/>
      <c r="D94" s="82"/>
      <c r="E94" s="82"/>
      <c r="F94" s="187">
        <v>1791144</v>
      </c>
      <c r="G94" s="188"/>
      <c r="H94" s="189"/>
      <c r="I94" s="82"/>
    </row>
    <row r="95" spans="1:14">
      <c r="A95" s="79">
        <v>3</v>
      </c>
      <c r="B95" s="80" t="s">
        <v>136</v>
      </c>
      <c r="C95" s="82"/>
      <c r="D95" s="82"/>
      <c r="E95" s="82">
        <f t="shared" ref="E95" si="29">C95*D95</f>
        <v>0</v>
      </c>
      <c r="F95" s="187"/>
      <c r="G95" s="188"/>
      <c r="H95" s="189"/>
      <c r="I95" s="82"/>
    </row>
    <row r="96" spans="1:14">
      <c r="A96" s="79">
        <v>4</v>
      </c>
      <c r="B96" s="80" t="s">
        <v>60</v>
      </c>
      <c r="C96" s="81"/>
      <c r="D96" s="82"/>
      <c r="E96" s="82">
        <f t="shared" ref="E96:E97" si="30">C96*D96</f>
        <v>0</v>
      </c>
      <c r="F96" s="187">
        <v>357930</v>
      </c>
      <c r="G96" s="188"/>
      <c r="H96" s="189"/>
      <c r="I96" s="82">
        <v>1084637000</v>
      </c>
    </row>
    <row r="97" spans="1:15">
      <c r="A97" s="79">
        <v>5</v>
      </c>
      <c r="B97" s="80" t="s">
        <v>137</v>
      </c>
      <c r="C97" s="81"/>
      <c r="D97" s="82"/>
      <c r="E97" s="82">
        <f t="shared" si="30"/>
        <v>0</v>
      </c>
      <c r="F97" s="187">
        <v>480480</v>
      </c>
      <c r="G97" s="188"/>
      <c r="H97" s="189"/>
      <c r="I97" s="82">
        <v>1456000000</v>
      </c>
    </row>
    <row r="98" spans="1:15">
      <c r="A98" s="79">
        <v>6</v>
      </c>
      <c r="B98" s="80" t="s">
        <v>61</v>
      </c>
      <c r="C98" s="81"/>
      <c r="D98" s="82"/>
      <c r="E98" s="82">
        <f>C98*D98</f>
        <v>0</v>
      </c>
      <c r="F98" s="187">
        <v>231033</v>
      </c>
      <c r="G98" s="188"/>
      <c r="H98" s="189"/>
      <c r="I98" s="82">
        <f>I101-F98</f>
        <v>699867789</v>
      </c>
    </row>
    <row r="99" spans="1:15" ht="6" customHeight="1">
      <c r="A99" s="133"/>
      <c r="B99" s="136"/>
      <c r="C99" s="137"/>
      <c r="D99" s="134"/>
      <c r="E99" s="134"/>
      <c r="F99" s="181"/>
      <c r="G99" s="182"/>
      <c r="H99" s="183"/>
      <c r="I99" s="134"/>
    </row>
    <row r="100" spans="1:15">
      <c r="A100" s="89"/>
      <c r="B100" s="89" t="s">
        <v>62</v>
      </c>
      <c r="C100" s="90"/>
      <c r="D100" s="91"/>
      <c r="E100" s="91">
        <f>SUM(E93:E99)</f>
        <v>3245156520</v>
      </c>
      <c r="F100" s="184">
        <f>SUM(F93:H99)</f>
        <v>2860587</v>
      </c>
      <c r="G100" s="185"/>
      <c r="H100" s="186"/>
      <c r="I100" s="91">
        <f>SUM(I93:I99)</f>
        <v>3240504789</v>
      </c>
    </row>
    <row r="101" spans="1:15">
      <c r="A101" s="130"/>
      <c r="B101" s="130"/>
      <c r="C101" s="131"/>
      <c r="D101" s="132"/>
      <c r="E101" s="132"/>
      <c r="I101" s="140">
        <v>700098822</v>
      </c>
    </row>
    <row r="102" spans="1:15">
      <c r="A102" s="130"/>
      <c r="B102" s="130"/>
      <c r="C102" s="131"/>
      <c r="D102" s="132"/>
      <c r="E102" s="132"/>
      <c r="I102" s="145"/>
    </row>
    <row r="103" spans="1:15">
      <c r="A103" s="130"/>
      <c r="B103" s="130"/>
      <c r="C103" s="131"/>
      <c r="D103" s="132"/>
      <c r="E103" s="132"/>
    </row>
    <row r="104" spans="1:15">
      <c r="A104" s="130"/>
      <c r="B104" s="130"/>
      <c r="C104" s="131"/>
      <c r="D104" s="132"/>
      <c r="E104" s="132"/>
    </row>
    <row r="105" spans="1:15" ht="43.5" customHeight="1">
      <c r="A105" s="180" t="s">
        <v>153</v>
      </c>
      <c r="B105" s="180"/>
      <c r="C105" s="180"/>
      <c r="D105" s="180"/>
      <c r="E105" s="180"/>
      <c r="F105" s="107"/>
      <c r="G105" s="21"/>
      <c r="H105" s="21"/>
    </row>
    <row r="106" spans="1:15" s="44" customFormat="1" ht="17.25" customHeight="1">
      <c r="B106" s="59"/>
      <c r="C106" s="114"/>
      <c r="D106" s="106"/>
      <c r="E106" s="120"/>
      <c r="F106" s="63"/>
      <c r="G106" s="64" t="s">
        <v>34</v>
      </c>
      <c r="I106" s="111"/>
    </row>
    <row r="107" spans="1:15" s="104" customFormat="1" ht="36.75" customHeight="1">
      <c r="A107" s="102" t="s">
        <v>1</v>
      </c>
      <c r="B107" s="102" t="s">
        <v>26</v>
      </c>
      <c r="C107" s="115" t="s">
        <v>10</v>
      </c>
      <c r="D107" s="103" t="s">
        <v>11</v>
      </c>
      <c r="E107" s="68" t="s">
        <v>12</v>
      </c>
      <c r="G107" s="66" t="s">
        <v>35</v>
      </c>
      <c r="H107" s="66" t="s">
        <v>36</v>
      </c>
      <c r="I107" s="66" t="s">
        <v>108</v>
      </c>
      <c r="J107" s="66" t="s">
        <v>37</v>
      </c>
      <c r="K107" s="66" t="s">
        <v>88</v>
      </c>
      <c r="L107" s="65" t="s">
        <v>38</v>
      </c>
      <c r="M107" s="68" t="s">
        <v>111</v>
      </c>
      <c r="N107" s="68" t="s">
        <v>12</v>
      </c>
    </row>
    <row r="108" spans="1:15" ht="18.75" customHeight="1">
      <c r="A108" s="79">
        <f>ROW()-77</f>
        <v>31</v>
      </c>
      <c r="B108" s="70" t="s">
        <v>40</v>
      </c>
      <c r="C108" s="116">
        <f>26000*8</f>
        <v>208000</v>
      </c>
      <c r="D108" s="72">
        <v>300</v>
      </c>
      <c r="E108" s="121">
        <f t="shared" ref="E108:E111" si="31">C108*D108</f>
        <v>62400000</v>
      </c>
      <c r="G108" s="83">
        <v>42681</v>
      </c>
      <c r="H108" s="83">
        <v>42690</v>
      </c>
      <c r="I108" s="75" t="s">
        <v>104</v>
      </c>
      <c r="J108" s="75">
        <f t="shared" ref="J108:J111" si="32">IF(H108&lt;&gt;"",H108-G108+1,"")</f>
        <v>10</v>
      </c>
      <c r="K108" s="75">
        <v>1292</v>
      </c>
      <c r="L108" s="108">
        <f t="shared" ref="L108:L111" si="33">K108*13</f>
        <v>16796</v>
      </c>
      <c r="M108" s="77">
        <v>20000</v>
      </c>
      <c r="N108" s="77">
        <f t="shared" ref="N108:N122" si="34">IF(J108&lt;&gt;"",M108*L108*J108/1000,"")</f>
        <v>3359200</v>
      </c>
      <c r="O108" s="78"/>
    </row>
    <row r="109" spans="1:15" ht="18.75" customHeight="1">
      <c r="A109" s="79">
        <f t="shared" ref="A109:A119" si="35">ROW()-77</f>
        <v>32</v>
      </c>
      <c r="B109" s="80" t="s">
        <v>42</v>
      </c>
      <c r="C109" s="117">
        <v>8</v>
      </c>
      <c r="D109" s="82">
        <v>2000000</v>
      </c>
      <c r="E109" s="122">
        <f t="shared" si="31"/>
        <v>16000000</v>
      </c>
      <c r="G109" s="83">
        <v>42682</v>
      </c>
      <c r="H109" s="83">
        <v>42690</v>
      </c>
      <c r="I109" s="75" t="s">
        <v>91</v>
      </c>
      <c r="J109" s="75">
        <f t="shared" si="32"/>
        <v>9</v>
      </c>
      <c r="K109" s="75">
        <v>246</v>
      </c>
      <c r="L109" s="108">
        <f t="shared" si="33"/>
        <v>3198</v>
      </c>
      <c r="M109" s="77">
        <v>20000</v>
      </c>
      <c r="N109" s="77">
        <f t="shared" si="34"/>
        <v>575640</v>
      </c>
      <c r="O109" s="78"/>
    </row>
    <row r="110" spans="1:15" ht="18.75" customHeight="1">
      <c r="A110" s="79">
        <f t="shared" si="35"/>
        <v>33</v>
      </c>
      <c r="B110" s="80" t="s">
        <v>43</v>
      </c>
      <c r="C110" s="117">
        <v>8</v>
      </c>
      <c r="D110" s="82">
        <v>2000000</v>
      </c>
      <c r="E110" s="122">
        <f t="shared" si="31"/>
        <v>16000000</v>
      </c>
      <c r="G110" s="83">
        <v>42682</v>
      </c>
      <c r="H110" s="83">
        <v>42690</v>
      </c>
      <c r="I110" s="75" t="s">
        <v>105</v>
      </c>
      <c r="J110" s="75">
        <f t="shared" si="32"/>
        <v>9</v>
      </c>
      <c r="K110" s="75">
        <v>443</v>
      </c>
      <c r="L110" s="108">
        <f t="shared" si="33"/>
        <v>5759</v>
      </c>
      <c r="M110" s="77">
        <v>20000</v>
      </c>
      <c r="N110" s="77">
        <f t="shared" si="34"/>
        <v>1036620</v>
      </c>
      <c r="O110" s="78"/>
    </row>
    <row r="111" spans="1:15" ht="18.75" customHeight="1">
      <c r="A111" s="79">
        <f t="shared" si="35"/>
        <v>34</v>
      </c>
      <c r="B111" s="80" t="s">
        <v>44</v>
      </c>
      <c r="C111" s="117">
        <v>8</v>
      </c>
      <c r="D111" s="82">
        <v>600000</v>
      </c>
      <c r="E111" s="122">
        <f t="shared" si="31"/>
        <v>4800000</v>
      </c>
      <c r="G111" s="83">
        <v>42683</v>
      </c>
      <c r="H111" s="83">
        <v>42690</v>
      </c>
      <c r="I111" s="75" t="s">
        <v>106</v>
      </c>
      <c r="J111" s="75">
        <f t="shared" si="32"/>
        <v>8</v>
      </c>
      <c r="K111" s="75">
        <f>184-165</f>
        <v>19</v>
      </c>
      <c r="L111" s="108">
        <f t="shared" si="33"/>
        <v>247</v>
      </c>
      <c r="M111" s="77">
        <v>20000</v>
      </c>
      <c r="N111" s="77">
        <f t="shared" si="34"/>
        <v>39520</v>
      </c>
      <c r="O111" s="78"/>
    </row>
    <row r="112" spans="1:15" ht="18.75" customHeight="1">
      <c r="A112" s="79">
        <f t="shared" si="35"/>
        <v>35</v>
      </c>
      <c r="B112" s="80" t="s">
        <v>80</v>
      </c>
      <c r="C112" s="117">
        <v>8</v>
      </c>
      <c r="D112" s="82">
        <f>750*D129</f>
        <v>16860000</v>
      </c>
      <c r="E112" s="122">
        <f>C112*D112</f>
        <v>134880000</v>
      </c>
      <c r="G112" s="83">
        <v>42690</v>
      </c>
      <c r="H112" s="83">
        <v>42690</v>
      </c>
      <c r="I112" s="75" t="s">
        <v>150</v>
      </c>
      <c r="J112" s="75">
        <f>IF(H112&lt;&gt;"",H112-G112,"")</f>
        <v>0</v>
      </c>
      <c r="K112" s="75">
        <v>2000</v>
      </c>
      <c r="L112" s="108">
        <f t="shared" ref="L112:L116" si="36">K112*13</f>
        <v>26000</v>
      </c>
      <c r="M112" s="77">
        <v>20000</v>
      </c>
      <c r="N112" s="77">
        <f t="shared" si="34"/>
        <v>0</v>
      </c>
      <c r="O112" s="78"/>
    </row>
    <row r="113" spans="1:15" ht="18.75" customHeight="1">
      <c r="A113" s="79">
        <f t="shared" si="35"/>
        <v>36</v>
      </c>
      <c r="B113" s="80" t="s">
        <v>46</v>
      </c>
      <c r="C113" s="117">
        <v>8</v>
      </c>
      <c r="D113" s="82">
        <v>7378778</v>
      </c>
      <c r="E113" s="122">
        <f t="shared" ref="E113:E115" si="37">C113*D113</f>
        <v>59030224</v>
      </c>
      <c r="G113" s="83">
        <v>42691</v>
      </c>
      <c r="H113" s="83">
        <v>42691</v>
      </c>
      <c r="I113" s="75" t="s">
        <v>151</v>
      </c>
      <c r="J113" s="75">
        <f t="shared" ref="J113:J117" si="38">IF(H113&lt;&gt;"",H113-G113,"")</f>
        <v>0</v>
      </c>
      <c r="K113" s="75">
        <v>2000</v>
      </c>
      <c r="L113" s="108">
        <f t="shared" si="36"/>
        <v>26000</v>
      </c>
      <c r="M113" s="77">
        <v>20000</v>
      </c>
      <c r="N113" s="77">
        <f t="shared" si="34"/>
        <v>0</v>
      </c>
      <c r="O113" s="78"/>
    </row>
    <row r="114" spans="1:15" ht="18.75" customHeight="1">
      <c r="A114" s="79">
        <f t="shared" si="35"/>
        <v>37</v>
      </c>
      <c r="B114" s="80" t="s">
        <v>47</v>
      </c>
      <c r="C114" s="117">
        <v>8</v>
      </c>
      <c r="D114" s="82">
        <v>5600000</v>
      </c>
      <c r="E114" s="122">
        <f t="shared" si="37"/>
        <v>44800000</v>
      </c>
      <c r="G114" s="83">
        <v>42691</v>
      </c>
      <c r="H114" s="83">
        <v>42691</v>
      </c>
      <c r="I114" s="75" t="s">
        <v>152</v>
      </c>
      <c r="J114" s="75">
        <f t="shared" si="38"/>
        <v>0</v>
      </c>
      <c r="K114" s="75">
        <v>2000</v>
      </c>
      <c r="L114" s="108">
        <f t="shared" si="36"/>
        <v>26000</v>
      </c>
      <c r="M114" s="77">
        <v>20000</v>
      </c>
      <c r="N114" s="77">
        <f t="shared" si="34"/>
        <v>0</v>
      </c>
      <c r="O114" s="78"/>
    </row>
    <row r="115" spans="1:15" ht="18.75" customHeight="1">
      <c r="A115" s="79">
        <f t="shared" si="35"/>
        <v>38</v>
      </c>
      <c r="B115" s="80" t="s">
        <v>48</v>
      </c>
      <c r="C115" s="117">
        <v>8</v>
      </c>
      <c r="D115" s="82">
        <f>88*22500</f>
        <v>1980000</v>
      </c>
      <c r="E115" s="122">
        <f t="shared" si="37"/>
        <v>15840000</v>
      </c>
      <c r="G115" s="83">
        <v>42698</v>
      </c>
      <c r="H115" s="83">
        <v>42698</v>
      </c>
      <c r="I115" s="75" t="s">
        <v>183</v>
      </c>
      <c r="J115" s="75">
        <f t="shared" si="38"/>
        <v>0</v>
      </c>
      <c r="K115" s="75">
        <v>1999</v>
      </c>
      <c r="L115" s="108">
        <f t="shared" si="36"/>
        <v>25987</v>
      </c>
      <c r="M115" s="77">
        <v>20000</v>
      </c>
      <c r="N115" s="77">
        <f t="shared" si="34"/>
        <v>0</v>
      </c>
      <c r="O115" s="78"/>
    </row>
    <row r="116" spans="1:15" ht="18.75" customHeight="1">
      <c r="A116" s="79">
        <f t="shared" si="35"/>
        <v>39</v>
      </c>
      <c r="B116" s="80" t="s">
        <v>49</v>
      </c>
      <c r="C116" s="117">
        <v>8</v>
      </c>
      <c r="D116" s="82">
        <v>1350000</v>
      </c>
      <c r="E116" s="122">
        <f>C116*D116</f>
        <v>10800000</v>
      </c>
      <c r="G116" s="83">
        <v>42698</v>
      </c>
      <c r="H116" s="83">
        <v>42698</v>
      </c>
      <c r="I116" s="75" t="s">
        <v>184</v>
      </c>
      <c r="J116" s="75">
        <f t="shared" si="38"/>
        <v>0</v>
      </c>
      <c r="K116" s="75">
        <v>2000</v>
      </c>
      <c r="L116" s="108">
        <f t="shared" si="36"/>
        <v>26000</v>
      </c>
      <c r="M116" s="77">
        <v>20000</v>
      </c>
      <c r="N116" s="77">
        <f t="shared" si="34"/>
        <v>0</v>
      </c>
      <c r="O116" s="78"/>
    </row>
    <row r="117" spans="1:15" ht="18.75" customHeight="1">
      <c r="A117" s="79">
        <f t="shared" si="35"/>
        <v>40</v>
      </c>
      <c r="B117" s="80" t="s">
        <v>84</v>
      </c>
      <c r="C117" s="117">
        <v>8</v>
      </c>
      <c r="D117" s="82">
        <v>2500000</v>
      </c>
      <c r="E117" s="122">
        <f t="shared" ref="E117" si="39">C117*D117</f>
        <v>20000000</v>
      </c>
      <c r="G117" s="83">
        <v>42702</v>
      </c>
      <c r="H117" s="83">
        <v>42702</v>
      </c>
      <c r="I117" s="75" t="s">
        <v>185</v>
      </c>
      <c r="J117" s="75">
        <f t="shared" si="38"/>
        <v>0</v>
      </c>
      <c r="K117" s="75">
        <v>2000</v>
      </c>
      <c r="L117" s="108">
        <f t="shared" ref="L117" si="40">K117*13</f>
        <v>26000</v>
      </c>
      <c r="M117" s="77">
        <v>20000</v>
      </c>
      <c r="N117" s="77">
        <f t="shared" si="34"/>
        <v>0</v>
      </c>
      <c r="O117" s="78"/>
    </row>
    <row r="118" spans="1:15" ht="18.75" customHeight="1">
      <c r="A118" s="79">
        <f t="shared" si="35"/>
        <v>41</v>
      </c>
      <c r="B118" s="80" t="s">
        <v>50</v>
      </c>
      <c r="C118" s="117">
        <v>208</v>
      </c>
      <c r="D118" s="82">
        <v>50000</v>
      </c>
      <c r="E118" s="122">
        <f>C118*D118</f>
        <v>10400000</v>
      </c>
      <c r="G118" s="83">
        <v>42683</v>
      </c>
      <c r="H118" s="83">
        <v>42699</v>
      </c>
      <c r="I118" s="75" t="s">
        <v>106</v>
      </c>
      <c r="J118" s="75">
        <f t="shared" ref="J118:J122" si="41">IF(H118&lt;&gt;"",H118-G118+1,"")</f>
        <v>17</v>
      </c>
      <c r="K118" s="75">
        <v>165</v>
      </c>
      <c r="L118" s="108">
        <f t="shared" ref="L118:L122" si="42">K118*13</f>
        <v>2145</v>
      </c>
      <c r="M118" s="77">
        <v>20000</v>
      </c>
      <c r="N118" s="77">
        <f t="shared" si="34"/>
        <v>729300</v>
      </c>
      <c r="O118" s="78"/>
    </row>
    <row r="119" spans="1:15" ht="18.75" customHeight="1">
      <c r="A119" s="79">
        <f t="shared" si="35"/>
        <v>42</v>
      </c>
      <c r="B119" s="80" t="s">
        <v>51</v>
      </c>
      <c r="C119" s="117"/>
      <c r="D119" s="82"/>
      <c r="E119" s="122">
        <f>N124</f>
        <v>13548600</v>
      </c>
      <c r="G119" s="83">
        <v>42684</v>
      </c>
      <c r="H119" s="83">
        <v>42699</v>
      </c>
      <c r="I119" s="75" t="s">
        <v>89</v>
      </c>
      <c r="J119" s="75">
        <f t="shared" si="41"/>
        <v>16</v>
      </c>
      <c r="K119" s="75">
        <v>510</v>
      </c>
      <c r="L119" s="108">
        <f t="shared" si="42"/>
        <v>6630</v>
      </c>
      <c r="M119" s="77">
        <v>20000</v>
      </c>
      <c r="N119" s="77">
        <f t="shared" si="34"/>
        <v>2121600</v>
      </c>
      <c r="O119" s="78"/>
    </row>
    <row r="120" spans="1:15" ht="18.75" customHeight="1">
      <c r="A120" s="79"/>
      <c r="B120" s="80"/>
      <c r="C120" s="117"/>
      <c r="D120" s="82"/>
      <c r="E120" s="122"/>
      <c r="G120" s="83"/>
      <c r="H120" s="83"/>
      <c r="I120" s="75" t="s">
        <v>124</v>
      </c>
      <c r="J120" s="75" t="str">
        <f t="shared" si="41"/>
        <v/>
      </c>
      <c r="K120" s="75">
        <v>-41</v>
      </c>
      <c r="L120" s="108">
        <f t="shared" si="42"/>
        <v>-533</v>
      </c>
      <c r="M120" s="77">
        <v>20000</v>
      </c>
      <c r="N120" s="77" t="str">
        <f t="shared" si="34"/>
        <v/>
      </c>
      <c r="O120" s="78"/>
    </row>
    <row r="121" spans="1:15" ht="18.75" customHeight="1">
      <c r="A121" s="79"/>
      <c r="B121" s="80"/>
      <c r="C121" s="117"/>
      <c r="D121" s="82"/>
      <c r="E121" s="122"/>
      <c r="G121" s="83">
        <v>42684</v>
      </c>
      <c r="H121" s="83">
        <v>42699</v>
      </c>
      <c r="I121" s="75" t="s">
        <v>125</v>
      </c>
      <c r="J121" s="75">
        <f t="shared" si="41"/>
        <v>16</v>
      </c>
      <c r="K121" s="75">
        <v>605</v>
      </c>
      <c r="L121" s="108">
        <f t="shared" si="42"/>
        <v>7865</v>
      </c>
      <c r="M121" s="77">
        <v>20000</v>
      </c>
      <c r="N121" s="77">
        <f t="shared" si="34"/>
        <v>2516800</v>
      </c>
      <c r="O121" s="78"/>
    </row>
    <row r="122" spans="1:15" ht="18.75" customHeight="1">
      <c r="A122" s="79"/>
      <c r="B122" s="80"/>
      <c r="C122" s="117"/>
      <c r="D122" s="82"/>
      <c r="E122" s="122"/>
      <c r="G122" s="83">
        <v>42684</v>
      </c>
      <c r="H122" s="83">
        <v>42699</v>
      </c>
      <c r="I122" s="75" t="s">
        <v>126</v>
      </c>
      <c r="J122" s="75">
        <f t="shared" si="41"/>
        <v>16</v>
      </c>
      <c r="K122" s="75">
        <f>800-38</f>
        <v>762</v>
      </c>
      <c r="L122" s="108">
        <f t="shared" si="42"/>
        <v>9906</v>
      </c>
      <c r="M122" s="77">
        <v>20000</v>
      </c>
      <c r="N122" s="77">
        <f t="shared" si="34"/>
        <v>3169920</v>
      </c>
      <c r="O122" s="78"/>
    </row>
    <row r="123" spans="1:15" ht="7.5" customHeight="1">
      <c r="A123" s="79"/>
      <c r="B123" s="80"/>
      <c r="C123" s="117"/>
      <c r="D123" s="82"/>
      <c r="E123" s="122"/>
      <c r="G123" s="85"/>
      <c r="H123" s="85"/>
      <c r="I123" s="86"/>
      <c r="J123" s="86"/>
      <c r="K123" s="86"/>
      <c r="L123" s="87"/>
      <c r="M123" s="88"/>
      <c r="N123" s="88"/>
    </row>
    <row r="124" spans="1:15" ht="18.75" customHeight="1">
      <c r="A124" s="89"/>
      <c r="B124" s="89" t="s">
        <v>53</v>
      </c>
      <c r="C124" s="118"/>
      <c r="D124" s="91"/>
      <c r="E124" s="93">
        <f>SUM(E108:E123)</f>
        <v>408498824</v>
      </c>
      <c r="F124" s="23"/>
      <c r="G124" s="92"/>
      <c r="H124" s="92"/>
      <c r="I124" s="92" t="s">
        <v>53</v>
      </c>
      <c r="J124" s="92"/>
      <c r="K124" s="109">
        <f>SUM(K108:K123)</f>
        <v>16000</v>
      </c>
      <c r="L124" s="109">
        <f>SUM(L108:L123)</f>
        <v>208000</v>
      </c>
      <c r="M124" s="109"/>
      <c r="N124" s="93">
        <f>SUM(N108:N123)</f>
        <v>13548600</v>
      </c>
    </row>
    <row r="125" spans="1:15" ht="7.5" customHeight="1"/>
    <row r="126" spans="1:15" s="22" customFormat="1">
      <c r="A126" s="24"/>
      <c r="B126" s="24"/>
      <c r="C126" s="119"/>
      <c r="D126" s="26" t="s">
        <v>54</v>
      </c>
      <c r="E126" s="123">
        <f>E124/C108</f>
        <v>1963.9366538461538</v>
      </c>
      <c r="F126" s="24"/>
    </row>
    <row r="128" spans="1:15" ht="31.5" customHeight="1">
      <c r="A128" s="92" t="s">
        <v>1</v>
      </c>
      <c r="B128" s="143" t="s">
        <v>26</v>
      </c>
      <c r="C128" s="126" t="s">
        <v>55</v>
      </c>
      <c r="D128" s="127" t="s">
        <v>56</v>
      </c>
      <c r="E128" s="127" t="s">
        <v>12</v>
      </c>
      <c r="F128" s="190" t="s">
        <v>122</v>
      </c>
      <c r="G128" s="191"/>
      <c r="H128" s="192"/>
      <c r="I128" s="127" t="s">
        <v>57</v>
      </c>
    </row>
    <row r="129" spans="1:9">
      <c r="A129" s="79">
        <v>1</v>
      </c>
      <c r="B129" s="80" t="s">
        <v>147</v>
      </c>
      <c r="C129" s="117">
        <v>291188</v>
      </c>
      <c r="D129" s="82">
        <v>22480</v>
      </c>
      <c r="E129" s="82">
        <f>C129*D129</f>
        <v>6545906240</v>
      </c>
      <c r="F129" s="187"/>
      <c r="G129" s="188"/>
      <c r="H129" s="189"/>
      <c r="I129" s="82"/>
    </row>
    <row r="130" spans="1:9">
      <c r="A130" s="79">
        <v>2</v>
      </c>
      <c r="B130" s="80" t="s">
        <v>129</v>
      </c>
      <c r="C130" s="117"/>
      <c r="D130" s="82"/>
      <c r="E130" s="82"/>
      <c r="F130" s="187">
        <f>F94*2</f>
        <v>3582288</v>
      </c>
      <c r="G130" s="188"/>
      <c r="H130" s="189"/>
      <c r="I130" s="82"/>
    </row>
    <row r="131" spans="1:9">
      <c r="A131" s="79">
        <v>3</v>
      </c>
      <c r="B131" s="80" t="s">
        <v>149</v>
      </c>
      <c r="C131" s="82"/>
      <c r="D131" s="82"/>
      <c r="E131" s="82"/>
      <c r="F131" s="187">
        <v>-1791144</v>
      </c>
      <c r="G131" s="188"/>
      <c r="H131" s="189"/>
      <c r="I131" s="82"/>
    </row>
    <row r="132" spans="1:9">
      <c r="A132" s="79">
        <v>4</v>
      </c>
      <c r="B132" s="80" t="s">
        <v>148</v>
      </c>
      <c r="C132" s="82"/>
      <c r="D132" s="82"/>
      <c r="E132" s="82">
        <f t="shared" ref="E132:E134" si="43">C132*D132</f>
        <v>0</v>
      </c>
      <c r="F132" s="187">
        <f>ROUND(I132*0.033%,0)</f>
        <v>1450020</v>
      </c>
      <c r="G132" s="188"/>
      <c r="H132" s="189"/>
      <c r="I132" s="82">
        <v>4394000000</v>
      </c>
    </row>
    <row r="133" spans="1:9">
      <c r="A133" s="79">
        <v>5</v>
      </c>
      <c r="B133" s="80" t="s">
        <v>155</v>
      </c>
      <c r="C133" s="81"/>
      <c r="D133" s="82"/>
      <c r="E133" s="82">
        <f t="shared" si="43"/>
        <v>0</v>
      </c>
      <c r="F133" s="187">
        <f>ROUND(I133*0.033%,0)</f>
        <v>133243</v>
      </c>
      <c r="G133" s="188"/>
      <c r="H133" s="189"/>
      <c r="I133" s="82">
        <v>403767000</v>
      </c>
    </row>
    <row r="134" spans="1:9">
      <c r="A134" s="79">
        <v>6</v>
      </c>
      <c r="B134" s="80" t="s">
        <v>156</v>
      </c>
      <c r="C134" s="81"/>
      <c r="D134" s="82"/>
      <c r="E134" s="82">
        <f t="shared" si="43"/>
        <v>0</v>
      </c>
      <c r="F134" s="187">
        <f t="shared" ref="F134" si="44">ROUND(I134*0.033%,0)</f>
        <v>142501</v>
      </c>
      <c r="G134" s="188"/>
      <c r="H134" s="189"/>
      <c r="I134" s="82">
        <v>431821000</v>
      </c>
    </row>
    <row r="135" spans="1:9">
      <c r="A135" s="79">
        <v>7</v>
      </c>
      <c r="B135" s="80" t="s">
        <v>61</v>
      </c>
      <c r="C135" s="81"/>
      <c r="D135" s="82"/>
      <c r="E135" s="82">
        <f>C135*D135</f>
        <v>0</v>
      </c>
      <c r="F135" s="187">
        <v>298421</v>
      </c>
      <c r="G135" s="188"/>
      <c r="H135" s="189"/>
      <c r="I135" s="82">
        <v>904008247</v>
      </c>
    </row>
    <row r="136" spans="1:9" ht="6" customHeight="1">
      <c r="A136" s="133"/>
      <c r="B136" s="136"/>
      <c r="C136" s="137"/>
      <c r="D136" s="134"/>
      <c r="E136" s="134"/>
      <c r="F136" s="181"/>
      <c r="G136" s="182"/>
      <c r="H136" s="183"/>
      <c r="I136" s="134"/>
    </row>
    <row r="137" spans="1:9">
      <c r="A137" s="89"/>
      <c r="B137" s="89" t="s">
        <v>62</v>
      </c>
      <c r="C137" s="90"/>
      <c r="D137" s="91"/>
      <c r="E137" s="91">
        <f>SUM(E129:E136)</f>
        <v>6545906240</v>
      </c>
      <c r="F137" s="184">
        <f>SUM(F129:H136)</f>
        <v>3815329</v>
      </c>
      <c r="G137" s="185"/>
      <c r="H137" s="186"/>
      <c r="I137" s="91">
        <f>SUM(I129:I136)</f>
        <v>6133596247</v>
      </c>
    </row>
    <row r="139" spans="1:9" ht="31.5" customHeight="1">
      <c r="A139" s="92" t="s">
        <v>1</v>
      </c>
      <c r="B139" s="146" t="s">
        <v>26</v>
      </c>
      <c r="C139" s="126" t="s">
        <v>55</v>
      </c>
      <c r="D139" s="127" t="s">
        <v>56</v>
      </c>
      <c r="E139" s="127" t="s">
        <v>12</v>
      </c>
      <c r="F139" s="190" t="s">
        <v>122</v>
      </c>
      <c r="G139" s="191"/>
      <c r="H139" s="192"/>
      <c r="I139" s="127" t="s">
        <v>57</v>
      </c>
    </row>
    <row r="140" spans="1:9">
      <c r="A140" s="79">
        <v>1</v>
      </c>
      <c r="B140" s="80" t="s">
        <v>157</v>
      </c>
      <c r="C140" s="117">
        <v>145588</v>
      </c>
      <c r="D140" s="82">
        <v>22660</v>
      </c>
      <c r="E140" s="82">
        <f>C140*D140</f>
        <v>3299024080</v>
      </c>
      <c r="F140" s="187"/>
      <c r="G140" s="188"/>
      <c r="H140" s="189"/>
      <c r="I140" s="82"/>
    </row>
    <row r="141" spans="1:9">
      <c r="A141" s="79">
        <v>2</v>
      </c>
      <c r="B141" s="80" t="s">
        <v>129</v>
      </c>
      <c r="C141" s="117"/>
      <c r="D141" s="82"/>
      <c r="E141" s="82"/>
      <c r="F141" s="187">
        <v>1819968</v>
      </c>
      <c r="G141" s="188"/>
      <c r="H141" s="189"/>
      <c r="I141" s="82"/>
    </row>
    <row r="142" spans="1:9">
      <c r="A142" s="79">
        <v>4</v>
      </c>
      <c r="B142" s="147" t="s">
        <v>158</v>
      </c>
      <c r="C142" s="82"/>
      <c r="D142" s="82"/>
      <c r="E142" s="82">
        <f t="shared" ref="E142:E144" si="45">C142*D142</f>
        <v>0</v>
      </c>
      <c r="F142" s="187">
        <f>ROUND(I142*0.033%,0)</f>
        <v>475585</v>
      </c>
      <c r="G142" s="188"/>
      <c r="H142" s="189"/>
      <c r="I142" s="82">
        <v>1441167000</v>
      </c>
    </row>
    <row r="143" spans="1:9">
      <c r="A143" s="79">
        <v>5</v>
      </c>
      <c r="B143" s="147" t="s">
        <v>159</v>
      </c>
      <c r="C143" s="81"/>
      <c r="D143" s="82"/>
      <c r="E143" s="82">
        <f t="shared" si="45"/>
        <v>0</v>
      </c>
      <c r="F143" s="187">
        <f>ROUND(I143*0.033%,0)</f>
        <v>178679</v>
      </c>
      <c r="G143" s="188"/>
      <c r="H143" s="189"/>
      <c r="I143" s="82">
        <v>541450000</v>
      </c>
    </row>
    <row r="144" spans="1:9">
      <c r="A144" s="79">
        <v>6</v>
      </c>
      <c r="B144" s="80" t="s">
        <v>60</v>
      </c>
      <c r="C144" s="81"/>
      <c r="D144" s="82"/>
      <c r="E144" s="82">
        <f t="shared" si="45"/>
        <v>0</v>
      </c>
      <c r="F144" s="187">
        <f t="shared" ref="F144" si="46">ROUND(I144*0.033%,0)</f>
        <v>351889</v>
      </c>
      <c r="G144" s="188"/>
      <c r="H144" s="189"/>
      <c r="I144" s="82">
        <v>1066331000</v>
      </c>
    </row>
    <row r="145" spans="1:15">
      <c r="A145" s="79">
        <v>7</v>
      </c>
      <c r="B145" s="80" t="s">
        <v>61</v>
      </c>
      <c r="C145" s="81"/>
      <c r="D145" s="82"/>
      <c r="E145" s="82">
        <f>C145*D145</f>
        <v>0</v>
      </c>
      <c r="F145" s="187">
        <v>81592</v>
      </c>
      <c r="G145" s="188"/>
      <c r="H145" s="189"/>
      <c r="I145" s="82">
        <v>247168367</v>
      </c>
    </row>
    <row r="146" spans="1:15" ht="6" customHeight="1">
      <c r="A146" s="133"/>
      <c r="B146" s="136"/>
      <c r="C146" s="137"/>
      <c r="D146" s="134"/>
      <c r="E146" s="134"/>
      <c r="F146" s="181"/>
      <c r="G146" s="182"/>
      <c r="H146" s="183"/>
      <c r="I146" s="134"/>
    </row>
    <row r="147" spans="1:15">
      <c r="A147" s="89"/>
      <c r="B147" s="89" t="s">
        <v>62</v>
      </c>
      <c r="C147" s="90"/>
      <c r="D147" s="91"/>
      <c r="E147" s="91">
        <f>SUM(E140:E146)</f>
        <v>3299024080</v>
      </c>
      <c r="F147" s="184">
        <f>SUM(F140:H146)</f>
        <v>2907713</v>
      </c>
      <c r="G147" s="185"/>
      <c r="H147" s="186"/>
      <c r="I147" s="91">
        <f>SUM(I140:I146)</f>
        <v>3296116367</v>
      </c>
    </row>
    <row r="148" spans="1:15" ht="18" customHeight="1">
      <c r="I148" s="145"/>
    </row>
    <row r="149" spans="1:15">
      <c r="I149" s="145"/>
    </row>
    <row r="150" spans="1:15" ht="43.5" customHeight="1">
      <c r="A150" s="180" t="s">
        <v>196</v>
      </c>
      <c r="B150" s="180"/>
      <c r="C150" s="180"/>
      <c r="D150" s="180"/>
      <c r="E150" s="180"/>
      <c r="F150" s="107"/>
      <c r="G150" s="21"/>
      <c r="H150" s="21"/>
    </row>
    <row r="151" spans="1:15" s="44" customFormat="1" ht="17.25" customHeight="1">
      <c r="B151" s="59"/>
      <c r="C151" s="114"/>
      <c r="D151" s="106"/>
      <c r="E151" s="120"/>
      <c r="F151" s="63"/>
      <c r="G151" s="64" t="s">
        <v>34</v>
      </c>
      <c r="I151" s="111"/>
    </row>
    <row r="152" spans="1:15" s="104" customFormat="1" ht="36.75" customHeight="1">
      <c r="A152" s="102" t="s">
        <v>1</v>
      </c>
      <c r="B152" s="102" t="s">
        <v>26</v>
      </c>
      <c r="C152" s="115" t="s">
        <v>10</v>
      </c>
      <c r="D152" s="103" t="s">
        <v>11</v>
      </c>
      <c r="E152" s="68" t="s">
        <v>12</v>
      </c>
      <c r="G152" s="66" t="s">
        <v>35</v>
      </c>
      <c r="H152" s="66" t="s">
        <v>36</v>
      </c>
      <c r="I152" s="66" t="s">
        <v>108</v>
      </c>
      <c r="J152" s="66" t="s">
        <v>37</v>
      </c>
      <c r="K152" s="66" t="s">
        <v>88</v>
      </c>
      <c r="L152" s="65" t="s">
        <v>38</v>
      </c>
      <c r="M152" s="68" t="s">
        <v>111</v>
      </c>
      <c r="N152" s="68" t="s">
        <v>12</v>
      </c>
    </row>
    <row r="153" spans="1:15" ht="18.75" customHeight="1">
      <c r="A153" s="79">
        <f>ROW()-152</f>
        <v>1</v>
      </c>
      <c r="B153" s="70" t="s">
        <v>40</v>
      </c>
      <c r="C153" s="116">
        <v>208000</v>
      </c>
      <c r="D153" s="72">
        <v>300</v>
      </c>
      <c r="E153" s="121">
        <f t="shared" ref="E153:E156" si="47">C153*D153</f>
        <v>62400000</v>
      </c>
      <c r="G153" s="83">
        <v>42684</v>
      </c>
      <c r="H153" s="83">
        <v>42702</v>
      </c>
      <c r="I153" s="75" t="s">
        <v>126</v>
      </c>
      <c r="J153" s="75">
        <f t="shared" ref="J153:J163" si="48">IF(H153&lt;&gt;"",H153-G153+1,"")</f>
        <v>19</v>
      </c>
      <c r="K153" s="75">
        <v>38</v>
      </c>
      <c r="L153" s="108">
        <f t="shared" ref="L153:L164" si="49">K153*13</f>
        <v>494</v>
      </c>
      <c r="M153" s="77">
        <v>20000</v>
      </c>
      <c r="N153" s="77">
        <f t="shared" ref="N153:N164" si="50">IF(J153&lt;&gt;"",M153*L153*J153/1000,"")</f>
        <v>187720</v>
      </c>
      <c r="O153" s="78"/>
    </row>
    <row r="154" spans="1:15" ht="18.75" customHeight="1">
      <c r="A154" s="79">
        <f t="shared" ref="A154:A167" si="51">ROW()-152</f>
        <v>2</v>
      </c>
      <c r="B154" s="80" t="s">
        <v>42</v>
      </c>
      <c r="C154" s="117">
        <v>8</v>
      </c>
      <c r="D154" s="82">
        <v>2000000</v>
      </c>
      <c r="E154" s="122">
        <f t="shared" si="47"/>
        <v>16000000</v>
      </c>
      <c r="G154" s="83">
        <v>42684</v>
      </c>
      <c r="H154" s="83">
        <v>42702</v>
      </c>
      <c r="I154" s="75" t="s">
        <v>127</v>
      </c>
      <c r="J154" s="75">
        <f t="shared" si="48"/>
        <v>19</v>
      </c>
      <c r="K154" s="75">
        <v>400</v>
      </c>
      <c r="L154" s="108">
        <f t="shared" si="49"/>
        <v>5200</v>
      </c>
      <c r="M154" s="77">
        <v>20000</v>
      </c>
      <c r="N154" s="77">
        <f t="shared" si="50"/>
        <v>1976000</v>
      </c>
      <c r="O154" s="78"/>
    </row>
    <row r="155" spans="1:15" ht="18.75" customHeight="1">
      <c r="A155" s="79">
        <f t="shared" si="51"/>
        <v>3</v>
      </c>
      <c r="B155" s="80" t="s">
        <v>43</v>
      </c>
      <c r="C155" s="117">
        <v>8</v>
      </c>
      <c r="D155" s="82">
        <v>2000000</v>
      </c>
      <c r="E155" s="122">
        <f t="shared" si="47"/>
        <v>16000000</v>
      </c>
      <c r="G155" s="83">
        <v>42685</v>
      </c>
      <c r="H155" s="83">
        <v>42702</v>
      </c>
      <c r="I155" s="75" t="s">
        <v>130</v>
      </c>
      <c r="J155" s="75">
        <f t="shared" si="48"/>
        <v>18</v>
      </c>
      <c r="K155" s="75">
        <v>445</v>
      </c>
      <c r="L155" s="108">
        <f t="shared" si="49"/>
        <v>5785</v>
      </c>
      <c r="M155" s="77">
        <v>20000</v>
      </c>
      <c r="N155" s="77">
        <f t="shared" si="50"/>
        <v>2082600</v>
      </c>
      <c r="O155" s="78"/>
    </row>
    <row r="156" spans="1:15" ht="18.75" customHeight="1">
      <c r="A156" s="79">
        <f t="shared" si="51"/>
        <v>4</v>
      </c>
      <c r="B156" s="80" t="s">
        <v>44</v>
      </c>
      <c r="C156" s="117">
        <v>8</v>
      </c>
      <c r="D156" s="82">
        <v>600000</v>
      </c>
      <c r="E156" s="122">
        <f t="shared" si="47"/>
        <v>4800000</v>
      </c>
      <c r="G156" s="83"/>
      <c r="H156" s="83"/>
      <c r="I156" s="75" t="s">
        <v>134</v>
      </c>
      <c r="J156" s="75" t="str">
        <f t="shared" si="48"/>
        <v/>
      </c>
      <c r="K156" s="75">
        <v>-11</v>
      </c>
      <c r="L156" s="108">
        <f t="shared" si="49"/>
        <v>-143</v>
      </c>
      <c r="M156" s="77"/>
      <c r="N156" s="77" t="str">
        <f t="shared" si="50"/>
        <v/>
      </c>
      <c r="O156" s="78"/>
    </row>
    <row r="157" spans="1:15" ht="18.75" customHeight="1">
      <c r="A157" s="79">
        <f t="shared" si="51"/>
        <v>5</v>
      </c>
      <c r="B157" s="80" t="s">
        <v>80</v>
      </c>
      <c r="C157" s="117">
        <v>8</v>
      </c>
      <c r="D157" s="82">
        <f>750*22600</f>
        <v>16950000</v>
      </c>
      <c r="E157" s="122">
        <f>C157*D157</f>
        <v>135600000</v>
      </c>
      <c r="G157" s="83">
        <v>42685</v>
      </c>
      <c r="H157" s="83">
        <v>42702</v>
      </c>
      <c r="I157" s="75" t="s">
        <v>92</v>
      </c>
      <c r="J157" s="75">
        <f t="shared" si="48"/>
        <v>18</v>
      </c>
      <c r="K157" s="75">
        <v>505</v>
      </c>
      <c r="L157" s="108">
        <f t="shared" si="49"/>
        <v>6565</v>
      </c>
      <c r="M157" s="77">
        <v>20000</v>
      </c>
      <c r="N157" s="77">
        <f t="shared" si="50"/>
        <v>2363400</v>
      </c>
      <c r="O157" s="78"/>
    </row>
    <row r="158" spans="1:15" ht="18.75" customHeight="1">
      <c r="A158" s="79">
        <f t="shared" si="51"/>
        <v>6</v>
      </c>
      <c r="B158" s="80" t="s">
        <v>46</v>
      </c>
      <c r="C158" s="117">
        <v>8</v>
      </c>
      <c r="D158" s="82">
        <v>7378778</v>
      </c>
      <c r="E158" s="122">
        <f t="shared" ref="E158:E160" si="52">C158*D158</f>
        <v>59030224</v>
      </c>
      <c r="G158" s="83">
        <v>42685</v>
      </c>
      <c r="H158" s="83">
        <v>42702</v>
      </c>
      <c r="I158" s="75" t="s">
        <v>131</v>
      </c>
      <c r="J158" s="75">
        <f t="shared" si="48"/>
        <v>18</v>
      </c>
      <c r="K158" s="75">
        <v>353</v>
      </c>
      <c r="L158" s="108">
        <f t="shared" si="49"/>
        <v>4589</v>
      </c>
      <c r="M158" s="77">
        <v>20000</v>
      </c>
      <c r="N158" s="77">
        <f t="shared" si="50"/>
        <v>1652040</v>
      </c>
      <c r="O158" s="78"/>
    </row>
    <row r="159" spans="1:15" ht="18.75" customHeight="1">
      <c r="A159" s="79">
        <f t="shared" si="51"/>
        <v>7</v>
      </c>
      <c r="B159" s="80" t="s">
        <v>47</v>
      </c>
      <c r="C159" s="117">
        <v>8</v>
      </c>
      <c r="D159" s="82">
        <v>5600000</v>
      </c>
      <c r="E159" s="122">
        <f t="shared" si="52"/>
        <v>44800000</v>
      </c>
      <c r="G159" s="83">
        <v>42685</v>
      </c>
      <c r="H159" s="83">
        <v>42702</v>
      </c>
      <c r="I159" s="75" t="s">
        <v>132</v>
      </c>
      <c r="J159" s="75">
        <f t="shared" si="48"/>
        <v>18</v>
      </c>
      <c r="K159" s="75">
        <f>900</f>
        <v>900</v>
      </c>
      <c r="L159" s="108">
        <f t="shared" si="49"/>
        <v>11700</v>
      </c>
      <c r="M159" s="77">
        <v>20000</v>
      </c>
      <c r="N159" s="77">
        <f t="shared" si="50"/>
        <v>4212000</v>
      </c>
      <c r="O159" s="78"/>
    </row>
    <row r="160" spans="1:15" ht="18.75" customHeight="1">
      <c r="A160" s="79">
        <f t="shared" si="51"/>
        <v>8</v>
      </c>
      <c r="B160" s="80" t="s">
        <v>48</v>
      </c>
      <c r="C160" s="117">
        <v>8</v>
      </c>
      <c r="D160" s="82">
        <f>88*22500</f>
        <v>1980000</v>
      </c>
      <c r="E160" s="122">
        <f t="shared" si="52"/>
        <v>15840000</v>
      </c>
      <c r="G160" s="83">
        <v>42685</v>
      </c>
      <c r="H160" s="83">
        <v>42702</v>
      </c>
      <c r="I160" s="75" t="s">
        <v>133</v>
      </c>
      <c r="J160" s="75">
        <f t="shared" si="48"/>
        <v>18</v>
      </c>
      <c r="K160" s="75">
        <v>900</v>
      </c>
      <c r="L160" s="108">
        <f t="shared" si="49"/>
        <v>11700</v>
      </c>
      <c r="M160" s="77">
        <v>20000</v>
      </c>
      <c r="N160" s="77">
        <f t="shared" si="50"/>
        <v>4212000</v>
      </c>
      <c r="O160" s="78"/>
    </row>
    <row r="161" spans="1:15" ht="18.75" customHeight="1">
      <c r="A161" s="79">
        <f t="shared" si="51"/>
        <v>9</v>
      </c>
      <c r="B161" s="80" t="s">
        <v>49</v>
      </c>
      <c r="C161" s="117">
        <v>8</v>
      </c>
      <c r="D161" s="82">
        <v>1350000</v>
      </c>
      <c r="E161" s="122">
        <f>C161*D161</f>
        <v>10800000</v>
      </c>
      <c r="G161" s="83">
        <v>42688</v>
      </c>
      <c r="H161" s="83">
        <v>42702</v>
      </c>
      <c r="I161" s="75" t="s">
        <v>92</v>
      </c>
      <c r="J161" s="75">
        <f t="shared" si="48"/>
        <v>15</v>
      </c>
      <c r="K161" s="75">
        <v>404</v>
      </c>
      <c r="L161" s="108">
        <f t="shared" si="49"/>
        <v>5252</v>
      </c>
      <c r="M161" s="77">
        <v>20000</v>
      </c>
      <c r="N161" s="77">
        <f t="shared" si="50"/>
        <v>1575600</v>
      </c>
      <c r="O161" s="78"/>
    </row>
    <row r="162" spans="1:15" ht="18.75" customHeight="1">
      <c r="A162" s="79">
        <f t="shared" si="51"/>
        <v>10</v>
      </c>
      <c r="B162" s="80" t="s">
        <v>84</v>
      </c>
      <c r="C162" s="117">
        <v>8</v>
      </c>
      <c r="D162" s="82">
        <v>2500000</v>
      </c>
      <c r="E162" s="122">
        <f t="shared" ref="E162" si="53">C162*D162</f>
        <v>20000000</v>
      </c>
      <c r="G162" s="83">
        <v>42693</v>
      </c>
      <c r="H162" s="83"/>
      <c r="I162" s="75" t="s">
        <v>154</v>
      </c>
      <c r="J162" s="75" t="str">
        <f t="shared" si="48"/>
        <v/>
      </c>
      <c r="K162" s="75">
        <v>-34</v>
      </c>
      <c r="L162" s="108">
        <f t="shared" si="49"/>
        <v>-442</v>
      </c>
      <c r="M162" s="77"/>
      <c r="N162" s="77" t="str">
        <f t="shared" si="50"/>
        <v/>
      </c>
      <c r="O162" s="78"/>
    </row>
    <row r="163" spans="1:15" ht="18.75" customHeight="1">
      <c r="A163" s="79">
        <f t="shared" si="51"/>
        <v>11</v>
      </c>
      <c r="B163" s="80" t="s">
        <v>50</v>
      </c>
      <c r="C163" s="117">
        <v>208</v>
      </c>
      <c r="D163" s="82">
        <v>50000</v>
      </c>
      <c r="E163" s="122">
        <f>C163*D163</f>
        <v>10400000</v>
      </c>
      <c r="G163" s="83">
        <v>42699</v>
      </c>
      <c r="H163" s="83">
        <v>42702</v>
      </c>
      <c r="I163" s="75" t="s">
        <v>96</v>
      </c>
      <c r="J163" s="75">
        <f t="shared" si="48"/>
        <v>4</v>
      </c>
      <c r="K163" s="75">
        <v>100</v>
      </c>
      <c r="L163" s="108">
        <f t="shared" si="49"/>
        <v>1300</v>
      </c>
      <c r="M163" s="77">
        <v>20000</v>
      </c>
      <c r="N163" s="77">
        <f t="shared" si="50"/>
        <v>104000</v>
      </c>
      <c r="O163" s="78"/>
    </row>
    <row r="164" spans="1:15" ht="18.75" customHeight="1">
      <c r="A164" s="79">
        <f t="shared" si="51"/>
        <v>12</v>
      </c>
      <c r="B164" s="80" t="s">
        <v>201</v>
      </c>
      <c r="C164" s="117">
        <v>10</v>
      </c>
      <c r="D164" s="82">
        <v>140000</v>
      </c>
      <c r="E164" s="122">
        <f>C164*D164</f>
        <v>1400000</v>
      </c>
      <c r="G164" s="83">
        <v>42705</v>
      </c>
      <c r="H164" s="83">
        <v>42705</v>
      </c>
      <c r="I164" s="75" t="s">
        <v>193</v>
      </c>
      <c r="J164" s="75">
        <f>IF(H164&lt;&gt;"",H164-G164,"")</f>
        <v>0</v>
      </c>
      <c r="K164" s="75">
        <v>2000</v>
      </c>
      <c r="L164" s="108">
        <f t="shared" si="49"/>
        <v>26000</v>
      </c>
      <c r="M164" s="77">
        <v>20000</v>
      </c>
      <c r="N164" s="77">
        <f t="shared" si="50"/>
        <v>0</v>
      </c>
      <c r="O164" s="78"/>
    </row>
    <row r="165" spans="1:15" ht="18.75" customHeight="1">
      <c r="A165" s="79">
        <f t="shared" si="51"/>
        <v>13</v>
      </c>
      <c r="B165" s="80" t="s">
        <v>202</v>
      </c>
      <c r="C165" s="117">
        <v>10</v>
      </c>
      <c r="D165" s="82">
        <v>110000</v>
      </c>
      <c r="E165" s="122">
        <f t="shared" ref="E165:E166" si="54">C165*D165</f>
        <v>1100000</v>
      </c>
      <c r="G165" s="83">
        <v>42705</v>
      </c>
      <c r="H165" s="83">
        <v>42705</v>
      </c>
      <c r="I165" s="75" t="s">
        <v>194</v>
      </c>
      <c r="J165" s="75">
        <f t="shared" ref="J165:J166" si="55">IF(H165&lt;&gt;"",H165-G165,"")</f>
        <v>0</v>
      </c>
      <c r="K165" s="75">
        <v>2000</v>
      </c>
      <c r="L165" s="108">
        <f t="shared" ref="L165:L171" si="56">K165*13</f>
        <v>26000</v>
      </c>
      <c r="M165" s="77">
        <v>20000</v>
      </c>
      <c r="N165" s="77">
        <f t="shared" ref="N165:N171" si="57">IF(J165&lt;&gt;"",M165*L165*J165/1000,"")</f>
        <v>0</v>
      </c>
      <c r="O165" s="78"/>
    </row>
    <row r="166" spans="1:15" ht="18.75" customHeight="1">
      <c r="A166" s="79">
        <f t="shared" si="51"/>
        <v>14</v>
      </c>
      <c r="B166" s="80" t="s">
        <v>203</v>
      </c>
      <c r="C166" s="117">
        <v>10</v>
      </c>
      <c r="D166" s="82">
        <v>110000</v>
      </c>
      <c r="E166" s="122">
        <f t="shared" si="54"/>
        <v>1100000</v>
      </c>
      <c r="G166" s="83">
        <v>42705</v>
      </c>
      <c r="H166" s="83">
        <v>42705</v>
      </c>
      <c r="I166" s="75" t="s">
        <v>195</v>
      </c>
      <c r="J166" s="75">
        <f t="shared" si="55"/>
        <v>0</v>
      </c>
      <c r="K166" s="75">
        <v>1999</v>
      </c>
      <c r="L166" s="108">
        <f t="shared" si="56"/>
        <v>25987</v>
      </c>
      <c r="M166" s="77">
        <v>20000</v>
      </c>
      <c r="N166" s="77">
        <f t="shared" si="57"/>
        <v>0</v>
      </c>
      <c r="O166" s="78"/>
    </row>
    <row r="167" spans="1:15" ht="18.75" customHeight="1">
      <c r="A167" s="79">
        <f t="shared" si="51"/>
        <v>15</v>
      </c>
      <c r="B167" s="80" t="s">
        <v>51</v>
      </c>
      <c r="C167" s="117"/>
      <c r="D167" s="82"/>
      <c r="E167" s="122">
        <f>N173</f>
        <v>21434660</v>
      </c>
      <c r="G167" s="83">
        <v>42699</v>
      </c>
      <c r="H167" s="83">
        <v>42706</v>
      </c>
      <c r="I167" s="75" t="s">
        <v>96</v>
      </c>
      <c r="J167" s="75">
        <f t="shared" ref="J167:J171" si="58">IF(H167&lt;&gt;"",H167-G167+1,"")</f>
        <v>8</v>
      </c>
      <c r="K167" s="75">
        <v>200</v>
      </c>
      <c r="L167" s="108">
        <f t="shared" si="56"/>
        <v>2600</v>
      </c>
      <c r="M167" s="77">
        <v>20000</v>
      </c>
      <c r="N167" s="77">
        <f t="shared" si="57"/>
        <v>416000</v>
      </c>
      <c r="O167" s="78"/>
    </row>
    <row r="168" spans="1:15" ht="18.75" customHeight="1">
      <c r="A168" s="79"/>
      <c r="B168" s="80"/>
      <c r="C168" s="117"/>
      <c r="D168" s="82"/>
      <c r="E168" s="122"/>
      <c r="G168" s="83">
        <v>42699</v>
      </c>
      <c r="H168" s="83">
        <v>42706</v>
      </c>
      <c r="I168" s="75" t="s">
        <v>89</v>
      </c>
      <c r="J168" s="75">
        <f t="shared" si="58"/>
        <v>8</v>
      </c>
      <c r="K168" s="75">
        <v>400</v>
      </c>
      <c r="L168" s="108">
        <f t="shared" si="56"/>
        <v>5200</v>
      </c>
      <c r="M168" s="77">
        <v>20000</v>
      </c>
      <c r="N168" s="77">
        <f t="shared" si="57"/>
        <v>832000</v>
      </c>
      <c r="O168" s="78"/>
    </row>
    <row r="169" spans="1:15" ht="18.75" customHeight="1">
      <c r="A169" s="79"/>
      <c r="B169" s="80"/>
      <c r="C169" s="117"/>
      <c r="D169" s="82"/>
      <c r="E169" s="122"/>
      <c r="G169" s="83">
        <v>42702</v>
      </c>
      <c r="H169" s="83">
        <v>42706</v>
      </c>
      <c r="I169" s="75" t="s">
        <v>91</v>
      </c>
      <c r="J169" s="75">
        <f t="shared" si="58"/>
        <v>5</v>
      </c>
      <c r="K169" s="75">
        <v>413</v>
      </c>
      <c r="L169" s="108">
        <f t="shared" si="56"/>
        <v>5369</v>
      </c>
      <c r="M169" s="77">
        <v>20000</v>
      </c>
      <c r="N169" s="77">
        <f t="shared" si="57"/>
        <v>536900</v>
      </c>
      <c r="O169" s="78"/>
    </row>
    <row r="170" spans="1:15" ht="18.75" customHeight="1">
      <c r="A170" s="79"/>
      <c r="B170" s="80"/>
      <c r="C170" s="117"/>
      <c r="D170" s="82"/>
      <c r="E170" s="122"/>
      <c r="G170" s="83">
        <v>42702</v>
      </c>
      <c r="H170" s="83">
        <v>42706</v>
      </c>
      <c r="I170" s="75" t="s">
        <v>186</v>
      </c>
      <c r="J170" s="75">
        <f t="shared" si="58"/>
        <v>5</v>
      </c>
      <c r="K170" s="75">
        <v>418</v>
      </c>
      <c r="L170" s="108">
        <f t="shared" si="56"/>
        <v>5434</v>
      </c>
      <c r="M170" s="77">
        <v>20000</v>
      </c>
      <c r="N170" s="77">
        <f t="shared" si="57"/>
        <v>543400</v>
      </c>
      <c r="O170" s="78"/>
    </row>
    <row r="171" spans="1:15" ht="18.75" customHeight="1">
      <c r="A171" s="79"/>
      <c r="B171" s="80"/>
      <c r="C171" s="117"/>
      <c r="D171" s="82"/>
      <c r="E171" s="122"/>
      <c r="G171" s="83">
        <v>42702</v>
      </c>
      <c r="H171" s="83">
        <v>42706</v>
      </c>
      <c r="I171" s="75" t="s">
        <v>187</v>
      </c>
      <c r="J171" s="75">
        <f t="shared" si="58"/>
        <v>5</v>
      </c>
      <c r="K171" s="75">
        <f>582-12</f>
        <v>570</v>
      </c>
      <c r="L171" s="108">
        <f t="shared" si="56"/>
        <v>7410</v>
      </c>
      <c r="M171" s="77">
        <v>20000</v>
      </c>
      <c r="N171" s="77">
        <f t="shared" si="57"/>
        <v>741000</v>
      </c>
      <c r="O171" s="78"/>
    </row>
    <row r="172" spans="1:15" ht="7.5" customHeight="1">
      <c r="A172" s="79"/>
      <c r="B172" s="80"/>
      <c r="C172" s="117"/>
      <c r="D172" s="82"/>
      <c r="E172" s="122"/>
      <c r="G172" s="85"/>
      <c r="H172" s="85"/>
      <c r="I172" s="86"/>
      <c r="J172" s="86"/>
      <c r="K172" s="86"/>
      <c r="L172" s="87"/>
      <c r="M172" s="88"/>
      <c r="N172" s="88"/>
    </row>
    <row r="173" spans="1:15" ht="18.75" customHeight="1">
      <c r="A173" s="89"/>
      <c r="B173" s="89" t="s">
        <v>53</v>
      </c>
      <c r="C173" s="118"/>
      <c r="D173" s="91"/>
      <c r="E173" s="93">
        <f>SUM(E153:E172)</f>
        <v>420704884</v>
      </c>
      <c r="F173" s="23"/>
      <c r="G173" s="92"/>
      <c r="H173" s="92"/>
      <c r="I173" s="92" t="s">
        <v>53</v>
      </c>
      <c r="J173" s="92"/>
      <c r="K173" s="109">
        <f>SUM(K153:K172)</f>
        <v>12000</v>
      </c>
      <c r="L173" s="109">
        <f>SUM(L153:L172)</f>
        <v>156000</v>
      </c>
      <c r="M173" s="109"/>
      <c r="N173" s="93">
        <f>SUM(N153:N172)</f>
        <v>21434660</v>
      </c>
    </row>
    <row r="174" spans="1:15" ht="7.5" customHeight="1"/>
    <row r="175" spans="1:15" s="22" customFormat="1">
      <c r="A175" s="24"/>
      <c r="B175" s="24"/>
      <c r="C175" s="119"/>
      <c r="D175" s="26" t="s">
        <v>54</v>
      </c>
      <c r="E175" s="123">
        <f>E173/C153</f>
        <v>2022.6196346153847</v>
      </c>
      <c r="F175" s="24"/>
    </row>
    <row r="177" spans="1:14" ht="31.5" customHeight="1">
      <c r="A177" s="92" t="s">
        <v>1</v>
      </c>
      <c r="B177" s="152" t="s">
        <v>26</v>
      </c>
      <c r="C177" s="126" t="s">
        <v>55</v>
      </c>
      <c r="D177" s="127" t="s">
        <v>56</v>
      </c>
      <c r="E177" s="127" t="s">
        <v>12</v>
      </c>
      <c r="F177" s="190" t="s">
        <v>122</v>
      </c>
      <c r="G177" s="191"/>
      <c r="H177" s="192"/>
      <c r="I177" s="127" t="s">
        <v>57</v>
      </c>
    </row>
    <row r="178" spans="1:14">
      <c r="A178" s="79">
        <v>1</v>
      </c>
      <c r="B178" s="80" t="s">
        <v>182</v>
      </c>
      <c r="C178" s="117">
        <v>145588</v>
      </c>
      <c r="D178" s="82">
        <v>22620</v>
      </c>
      <c r="E178" s="82">
        <f>C178*D178</f>
        <v>3293200560</v>
      </c>
      <c r="F178" s="187"/>
      <c r="G178" s="188"/>
      <c r="H178" s="189"/>
      <c r="I178" s="82"/>
    </row>
    <row r="179" spans="1:14">
      <c r="A179" s="79">
        <v>2</v>
      </c>
      <c r="B179" s="80" t="s">
        <v>129</v>
      </c>
      <c r="C179" s="117"/>
      <c r="D179" s="82"/>
      <c r="E179" s="82"/>
      <c r="F179" s="187">
        <v>1825573</v>
      </c>
      <c r="G179" s="188"/>
      <c r="H179" s="189"/>
      <c r="I179" s="82"/>
    </row>
    <row r="180" spans="1:14">
      <c r="A180" s="79">
        <v>3</v>
      </c>
      <c r="B180" s="147" t="s">
        <v>158</v>
      </c>
      <c r="C180" s="82"/>
      <c r="D180" s="82"/>
      <c r="E180" s="82">
        <f t="shared" ref="E180:E181" si="59">C180*D180</f>
        <v>0</v>
      </c>
      <c r="F180" s="187">
        <f>ROUND(I180*0.033%,0)</f>
        <v>497640</v>
      </c>
      <c r="G180" s="188"/>
      <c r="H180" s="189"/>
      <c r="I180" s="82">
        <v>1508000000</v>
      </c>
    </row>
    <row r="181" spans="1:14">
      <c r="A181" s="79">
        <v>4</v>
      </c>
      <c r="B181" s="80" t="s">
        <v>148</v>
      </c>
      <c r="C181" s="81"/>
      <c r="D181" s="82"/>
      <c r="E181" s="82">
        <f t="shared" si="59"/>
        <v>0</v>
      </c>
      <c r="F181" s="187">
        <f>ROUND(I181*0.033%,0)</f>
        <v>552453</v>
      </c>
      <c r="G181" s="188"/>
      <c r="H181" s="189"/>
      <c r="I181" s="82">
        <v>1674100000</v>
      </c>
    </row>
    <row r="182" spans="1:14">
      <c r="A182" s="79">
        <v>5</v>
      </c>
      <c r="B182" s="80" t="s">
        <v>61</v>
      </c>
      <c r="C182" s="81"/>
      <c r="D182" s="82"/>
      <c r="E182" s="82">
        <f>C182*D182</f>
        <v>0</v>
      </c>
      <c r="F182" s="187"/>
      <c r="G182" s="188"/>
      <c r="H182" s="189"/>
      <c r="I182" s="82"/>
    </row>
    <row r="183" spans="1:14" ht="6" customHeight="1">
      <c r="A183" s="133"/>
      <c r="B183" s="136"/>
      <c r="C183" s="137"/>
      <c r="D183" s="134"/>
      <c r="E183" s="134"/>
      <c r="F183" s="181"/>
      <c r="G183" s="182"/>
      <c r="H183" s="183"/>
      <c r="I183" s="134"/>
    </row>
    <row r="184" spans="1:14">
      <c r="A184" s="89"/>
      <c r="B184" s="89" t="s">
        <v>62</v>
      </c>
      <c r="C184" s="90"/>
      <c r="D184" s="91"/>
      <c r="E184" s="91">
        <f>SUM(E178:E183)</f>
        <v>3293200560</v>
      </c>
      <c r="F184" s="184">
        <f>SUM(F178:H183)</f>
        <v>2875666</v>
      </c>
      <c r="G184" s="185"/>
      <c r="H184" s="186"/>
      <c r="I184" s="91">
        <f>SUM(I178:I183)</f>
        <v>3182100000</v>
      </c>
    </row>
    <row r="185" spans="1:14" ht="6.75" customHeight="1">
      <c r="I185" s="145"/>
    </row>
    <row r="186" spans="1:14" s="23" customFormat="1">
      <c r="C186" s="163"/>
      <c r="D186" s="100"/>
      <c r="E186" s="164"/>
      <c r="G186" s="27" t="s">
        <v>191</v>
      </c>
      <c r="H186" s="27"/>
      <c r="I186" s="165">
        <f>E184-F184-I184</f>
        <v>108224894</v>
      </c>
      <c r="J186" s="27"/>
      <c r="K186" s="27"/>
      <c r="L186" s="27"/>
      <c r="M186" s="27"/>
      <c r="N186" s="27"/>
    </row>
    <row r="187" spans="1:14" s="23" customFormat="1">
      <c r="C187" s="163"/>
      <c r="D187" s="100"/>
      <c r="E187" s="164"/>
      <c r="G187" s="27"/>
      <c r="H187" s="27"/>
      <c r="I187" s="165"/>
      <c r="J187" s="27"/>
      <c r="K187" s="27"/>
      <c r="L187" s="27"/>
      <c r="M187" s="27"/>
      <c r="N187" s="27"/>
    </row>
    <row r="188" spans="1:14" ht="31.5" customHeight="1">
      <c r="A188" s="92" t="s">
        <v>1</v>
      </c>
      <c r="B188" s="159" t="s">
        <v>26</v>
      </c>
      <c r="C188" s="126" t="s">
        <v>55</v>
      </c>
      <c r="D188" s="127" t="s">
        <v>56</v>
      </c>
      <c r="E188" s="127" t="s">
        <v>12</v>
      </c>
      <c r="F188" s="190" t="s">
        <v>122</v>
      </c>
      <c r="G188" s="191"/>
      <c r="H188" s="192"/>
      <c r="I188" s="127" t="s">
        <v>57</v>
      </c>
    </row>
    <row r="189" spans="1:14">
      <c r="A189" s="79">
        <v>1</v>
      </c>
      <c r="B189" s="80" t="s">
        <v>197</v>
      </c>
      <c r="C189" s="117">
        <v>291188</v>
      </c>
      <c r="D189" s="82">
        <v>22650</v>
      </c>
      <c r="E189" s="82">
        <f>C189*D189</f>
        <v>6595408200</v>
      </c>
      <c r="F189" s="187"/>
      <c r="G189" s="188"/>
      <c r="H189" s="189"/>
      <c r="I189" s="82"/>
    </row>
    <row r="190" spans="1:14">
      <c r="A190" s="79">
        <v>2</v>
      </c>
      <c r="B190" s="80" t="s">
        <v>200</v>
      </c>
      <c r="C190" s="117"/>
      <c r="D190" s="82"/>
      <c r="E190" s="82">
        <f>E184-I184-F184</f>
        <v>108224894</v>
      </c>
      <c r="F190" s="187"/>
      <c r="G190" s="188"/>
      <c r="H190" s="189"/>
      <c r="I190" s="82"/>
    </row>
    <row r="191" spans="1:14">
      <c r="A191" s="79">
        <v>3</v>
      </c>
      <c r="B191" s="80" t="s">
        <v>129</v>
      </c>
      <c r="C191" s="117"/>
      <c r="D191" s="82"/>
      <c r="E191" s="82"/>
      <c r="F191" s="187">
        <f>1825573*2</f>
        <v>3651146</v>
      </c>
      <c r="G191" s="188"/>
      <c r="H191" s="189"/>
      <c r="I191" s="82"/>
    </row>
    <row r="192" spans="1:14">
      <c r="A192" s="79">
        <v>4</v>
      </c>
      <c r="B192" s="80" t="s">
        <v>198</v>
      </c>
      <c r="C192" s="117"/>
      <c r="D192" s="82"/>
      <c r="E192" s="82"/>
      <c r="F192" s="160"/>
      <c r="G192" s="161"/>
      <c r="H192" s="162"/>
      <c r="I192" s="82">
        <f>E173</f>
        <v>420704884</v>
      </c>
    </row>
    <row r="193" spans="1:15">
      <c r="A193" s="79">
        <v>5</v>
      </c>
      <c r="B193" s="80" t="s">
        <v>199</v>
      </c>
      <c r="C193" s="117"/>
      <c r="D193" s="82"/>
      <c r="E193" s="82"/>
      <c r="F193" s="160"/>
      <c r="G193" s="161"/>
      <c r="H193" s="162"/>
      <c r="I193" s="82">
        <v>300000000</v>
      </c>
    </row>
    <row r="194" spans="1:15">
      <c r="A194" s="79">
        <v>6</v>
      </c>
      <c r="B194" s="80" t="s">
        <v>148</v>
      </c>
      <c r="C194" s="82"/>
      <c r="D194" s="82"/>
      <c r="E194" s="82">
        <f t="shared" ref="E194:E195" si="60">C194*D194</f>
        <v>0</v>
      </c>
      <c r="F194" s="187">
        <f>ROUND(I194*0.033%,0)</f>
        <v>963198</v>
      </c>
      <c r="G194" s="188"/>
      <c r="H194" s="189"/>
      <c r="I194" s="82">
        <f>2918480500+300000</f>
        <v>2918780500</v>
      </c>
    </row>
    <row r="195" spans="1:15">
      <c r="A195" s="79">
        <v>7</v>
      </c>
      <c r="B195" s="147" t="s">
        <v>158</v>
      </c>
      <c r="C195" s="81"/>
      <c r="D195" s="82"/>
      <c r="E195" s="82">
        <f t="shared" si="60"/>
        <v>0</v>
      </c>
      <c r="F195" s="187">
        <f>ROUND(I195*0.033%,0)</f>
        <v>602224</v>
      </c>
      <c r="G195" s="188"/>
      <c r="H195" s="189"/>
      <c r="I195" s="82">
        <v>1824920500</v>
      </c>
    </row>
    <row r="196" spans="1:15">
      <c r="A196" s="79">
        <v>8</v>
      </c>
      <c r="B196" s="147" t="s">
        <v>159</v>
      </c>
      <c r="C196" s="81"/>
      <c r="D196" s="82"/>
      <c r="E196" s="82"/>
      <c r="F196" s="187">
        <f>ROUND(I196*0.033%,0)</f>
        <v>182381</v>
      </c>
      <c r="G196" s="188"/>
      <c r="H196" s="189"/>
      <c r="I196" s="82">
        <v>552669000</v>
      </c>
    </row>
    <row r="197" spans="1:15">
      <c r="A197" s="79">
        <v>9</v>
      </c>
      <c r="B197" s="80" t="s">
        <v>61</v>
      </c>
      <c r="C197" s="81"/>
      <c r="D197" s="82"/>
      <c r="E197" s="82">
        <f>C197*D197</f>
        <v>0</v>
      </c>
      <c r="F197" s="187">
        <v>224782.55613005161</v>
      </c>
      <c r="G197" s="188"/>
      <c r="H197" s="189"/>
      <c r="I197" s="82">
        <v>680934478.44386995</v>
      </c>
    </row>
    <row r="198" spans="1:15" ht="6" customHeight="1">
      <c r="A198" s="133"/>
      <c r="B198" s="136"/>
      <c r="C198" s="137"/>
      <c r="D198" s="134"/>
      <c r="E198" s="134"/>
      <c r="F198" s="181"/>
      <c r="G198" s="182"/>
      <c r="H198" s="183"/>
      <c r="I198" s="134"/>
    </row>
    <row r="199" spans="1:15">
      <c r="A199" s="89"/>
      <c r="B199" s="89" t="s">
        <v>62</v>
      </c>
      <c r="C199" s="90"/>
      <c r="D199" s="91"/>
      <c r="E199" s="91">
        <f>SUM(E189:E198)</f>
        <v>6703633094</v>
      </c>
      <c r="F199" s="184">
        <f>SUM(F189:H198)</f>
        <v>5623731.5561300516</v>
      </c>
      <c r="G199" s="185"/>
      <c r="H199" s="186"/>
      <c r="I199" s="91">
        <f>SUM(I189:I198)</f>
        <v>6698009362.4438696</v>
      </c>
    </row>
    <row r="200" spans="1:15" ht="6.75" customHeight="1">
      <c r="I200" s="145"/>
    </row>
    <row r="201" spans="1:15" s="23" customFormat="1">
      <c r="C201" s="163"/>
      <c r="D201" s="100"/>
      <c r="E201" s="164"/>
      <c r="G201" s="27"/>
      <c r="H201" s="27"/>
      <c r="I201" s="165"/>
      <c r="J201" s="27"/>
      <c r="K201" s="27"/>
      <c r="L201" s="27"/>
      <c r="M201" s="27"/>
      <c r="N201" s="27"/>
    </row>
    <row r="202" spans="1:15" s="23" customFormat="1">
      <c r="C202" s="163"/>
      <c r="D202" s="100"/>
      <c r="E202" s="164"/>
      <c r="G202" s="27"/>
      <c r="H202" s="27"/>
      <c r="I202" s="165"/>
      <c r="J202" s="27"/>
      <c r="K202" s="27"/>
      <c r="L202" s="27"/>
      <c r="M202" s="27"/>
      <c r="N202" s="27"/>
    </row>
    <row r="205" spans="1:15" ht="43.5" customHeight="1">
      <c r="A205" s="180" t="s">
        <v>123</v>
      </c>
      <c r="B205" s="180"/>
      <c r="C205" s="180"/>
      <c r="D205" s="180"/>
      <c r="E205" s="180"/>
      <c r="F205" s="107"/>
      <c r="G205" s="21"/>
      <c r="H205" s="21"/>
    </row>
    <row r="206" spans="1:15" s="44" customFormat="1" ht="17.25" customHeight="1">
      <c r="B206" s="59"/>
      <c r="C206" s="114"/>
      <c r="D206" s="106"/>
      <c r="E206" s="120"/>
      <c r="F206" s="63"/>
      <c r="G206" s="64" t="s">
        <v>34</v>
      </c>
      <c r="I206" s="111"/>
    </row>
    <row r="207" spans="1:15" s="104" customFormat="1" ht="36.75" customHeight="1">
      <c r="A207" s="102" t="s">
        <v>1</v>
      </c>
      <c r="B207" s="102" t="s">
        <v>26</v>
      </c>
      <c r="C207" s="115" t="s">
        <v>10</v>
      </c>
      <c r="D207" s="103" t="s">
        <v>11</v>
      </c>
      <c r="E207" s="68" t="s">
        <v>12</v>
      </c>
      <c r="G207" s="66" t="s">
        <v>35</v>
      </c>
      <c r="H207" s="66" t="s">
        <v>36</v>
      </c>
      <c r="I207" s="66" t="s">
        <v>108</v>
      </c>
      <c r="J207" s="66" t="s">
        <v>37</v>
      </c>
      <c r="K207" s="66" t="s">
        <v>88</v>
      </c>
      <c r="L207" s="65" t="s">
        <v>38</v>
      </c>
      <c r="M207" s="68" t="s">
        <v>111</v>
      </c>
      <c r="N207" s="68" t="s">
        <v>12</v>
      </c>
    </row>
    <row r="208" spans="1:15" ht="18.75" customHeight="1">
      <c r="A208" s="79">
        <f>ROW()-77</f>
        <v>131</v>
      </c>
      <c r="B208" s="70" t="s">
        <v>40</v>
      </c>
      <c r="C208" s="116">
        <f>26000*4</f>
        <v>104000</v>
      </c>
      <c r="D208" s="72">
        <v>300</v>
      </c>
      <c r="E208" s="121">
        <f t="shared" ref="E208:E211" si="61">C208*D208</f>
        <v>31200000</v>
      </c>
      <c r="G208" s="83">
        <v>42702</v>
      </c>
      <c r="H208" s="83"/>
      <c r="I208" s="75" t="s">
        <v>187</v>
      </c>
      <c r="J208" s="75" t="str">
        <f t="shared" ref="J208:J212" si="62">IF(H208&lt;&gt;"",H208-G208+1,"")</f>
        <v/>
      </c>
      <c r="K208" s="75">
        <v>12</v>
      </c>
      <c r="L208" s="108">
        <f t="shared" ref="L208:L215" si="63">K208*13</f>
        <v>156</v>
      </c>
      <c r="M208" s="77"/>
      <c r="N208" s="77"/>
      <c r="O208" s="78"/>
    </row>
    <row r="209" spans="1:15" ht="18.75" customHeight="1">
      <c r="A209" s="79">
        <f t="shared" ref="A209:A219" si="64">ROW()-77</f>
        <v>132</v>
      </c>
      <c r="B209" s="80" t="s">
        <v>42</v>
      </c>
      <c r="C209" s="117">
        <v>4</v>
      </c>
      <c r="D209" s="82">
        <v>2000000</v>
      </c>
      <c r="E209" s="122">
        <f t="shared" si="61"/>
        <v>8000000</v>
      </c>
      <c r="G209" s="83">
        <v>42702</v>
      </c>
      <c r="H209" s="83"/>
      <c r="I209" s="75" t="s">
        <v>105</v>
      </c>
      <c r="J209" s="75" t="str">
        <f t="shared" si="62"/>
        <v/>
      </c>
      <c r="K209" s="75">
        <v>500</v>
      </c>
      <c r="L209" s="108">
        <f t="shared" si="63"/>
        <v>6500</v>
      </c>
      <c r="M209" s="77"/>
      <c r="N209" s="77"/>
      <c r="O209" s="78"/>
    </row>
    <row r="210" spans="1:15" ht="18.75" customHeight="1">
      <c r="A210" s="79">
        <f t="shared" si="64"/>
        <v>133</v>
      </c>
      <c r="B210" s="80" t="s">
        <v>43</v>
      </c>
      <c r="C210" s="117">
        <v>4</v>
      </c>
      <c r="D210" s="82">
        <v>2000000</v>
      </c>
      <c r="E210" s="122">
        <f t="shared" si="61"/>
        <v>8000000</v>
      </c>
      <c r="G210" s="83">
        <v>42702</v>
      </c>
      <c r="H210" s="83"/>
      <c r="I210" s="75" t="s">
        <v>188</v>
      </c>
      <c r="J210" s="75" t="str">
        <f t="shared" si="62"/>
        <v/>
      </c>
      <c r="K210" s="75">
        <v>500</v>
      </c>
      <c r="L210" s="108">
        <f t="shared" si="63"/>
        <v>6500</v>
      </c>
      <c r="M210" s="77"/>
      <c r="N210" s="77"/>
      <c r="O210" s="78"/>
    </row>
    <row r="211" spans="1:15" ht="18.75" customHeight="1">
      <c r="A211" s="79">
        <f t="shared" si="64"/>
        <v>134</v>
      </c>
      <c r="B211" s="80" t="s">
        <v>44</v>
      </c>
      <c r="C211" s="117">
        <v>4</v>
      </c>
      <c r="D211" s="82">
        <v>600000</v>
      </c>
      <c r="E211" s="122">
        <f t="shared" si="61"/>
        <v>2400000</v>
      </c>
      <c r="G211" s="83">
        <v>42702</v>
      </c>
      <c r="H211" s="83"/>
      <c r="I211" s="75" t="s">
        <v>189</v>
      </c>
      <c r="J211" s="75" t="str">
        <f t="shared" si="62"/>
        <v/>
      </c>
      <c r="K211" s="75">
        <v>810</v>
      </c>
      <c r="L211" s="108">
        <f t="shared" si="63"/>
        <v>10530</v>
      </c>
      <c r="M211" s="77"/>
      <c r="N211" s="77"/>
      <c r="O211" s="78"/>
    </row>
    <row r="212" spans="1:15" ht="18.75" customHeight="1">
      <c r="A212" s="79">
        <f t="shared" si="64"/>
        <v>135</v>
      </c>
      <c r="B212" s="80" t="s">
        <v>80</v>
      </c>
      <c r="C212" s="117">
        <v>4</v>
      </c>
      <c r="D212" s="82">
        <v>16725000</v>
      </c>
      <c r="E212" s="122">
        <f>C212*D212</f>
        <v>66900000</v>
      </c>
      <c r="G212" s="83">
        <v>42702</v>
      </c>
      <c r="H212" s="83"/>
      <c r="I212" s="75" t="s">
        <v>190</v>
      </c>
      <c r="J212" s="75" t="str">
        <f t="shared" si="62"/>
        <v/>
      </c>
      <c r="K212" s="75">
        <v>682</v>
      </c>
      <c r="L212" s="108">
        <f t="shared" si="63"/>
        <v>8866</v>
      </c>
      <c r="M212" s="77"/>
      <c r="N212" s="77"/>
      <c r="O212" s="78"/>
    </row>
    <row r="213" spans="1:15" ht="18.75" customHeight="1">
      <c r="A213" s="79">
        <f t="shared" si="64"/>
        <v>136</v>
      </c>
      <c r="B213" s="80" t="s">
        <v>46</v>
      </c>
      <c r="C213" s="117">
        <v>4</v>
      </c>
      <c r="D213" s="82">
        <v>7378778</v>
      </c>
      <c r="E213" s="122">
        <f t="shared" ref="E213:E215" si="65">C213*D213</f>
        <v>29515112</v>
      </c>
      <c r="G213" s="83">
        <v>42702</v>
      </c>
      <c r="H213" s="83"/>
      <c r="I213" s="75" t="s">
        <v>127</v>
      </c>
      <c r="J213" s="75"/>
      <c r="K213" s="75">
        <v>894</v>
      </c>
      <c r="L213" s="108">
        <f t="shared" si="63"/>
        <v>11622</v>
      </c>
      <c r="M213" s="77"/>
      <c r="N213" s="77"/>
      <c r="O213" s="78"/>
    </row>
    <row r="214" spans="1:15" ht="18.75" customHeight="1">
      <c r="A214" s="79">
        <f t="shared" si="64"/>
        <v>137</v>
      </c>
      <c r="B214" s="80" t="s">
        <v>47</v>
      </c>
      <c r="C214" s="117">
        <v>4</v>
      </c>
      <c r="D214" s="82">
        <v>5600000</v>
      </c>
      <c r="E214" s="122">
        <f t="shared" si="65"/>
        <v>22400000</v>
      </c>
      <c r="G214" s="83">
        <v>42703</v>
      </c>
      <c r="H214" s="83"/>
      <c r="I214" s="75" t="s">
        <v>90</v>
      </c>
      <c r="J214" s="75"/>
      <c r="K214" s="75">
        <v>445</v>
      </c>
      <c r="L214" s="108">
        <f t="shared" si="63"/>
        <v>5785</v>
      </c>
      <c r="M214" s="77"/>
      <c r="N214" s="77"/>
      <c r="O214" s="78"/>
    </row>
    <row r="215" spans="1:15" ht="18.75" customHeight="1">
      <c r="A215" s="79">
        <f t="shared" si="64"/>
        <v>138</v>
      </c>
      <c r="B215" s="80" t="s">
        <v>48</v>
      </c>
      <c r="C215" s="117">
        <v>4</v>
      </c>
      <c r="D215" s="82">
        <f>88*22500</f>
        <v>1980000</v>
      </c>
      <c r="E215" s="122">
        <f t="shared" si="65"/>
        <v>7920000</v>
      </c>
      <c r="G215" s="83">
        <v>42703</v>
      </c>
      <c r="H215" s="83"/>
      <c r="I215" s="75" t="s">
        <v>192</v>
      </c>
      <c r="J215" s="75"/>
      <c r="K215" s="75">
        <v>372</v>
      </c>
      <c r="L215" s="108">
        <f t="shared" si="63"/>
        <v>4836</v>
      </c>
      <c r="M215" s="77"/>
      <c r="N215" s="77"/>
      <c r="O215" s="78"/>
    </row>
    <row r="216" spans="1:15" ht="18.75" customHeight="1">
      <c r="A216" s="79">
        <f t="shared" si="64"/>
        <v>139</v>
      </c>
      <c r="B216" s="80" t="s">
        <v>49</v>
      </c>
      <c r="C216" s="117">
        <v>4</v>
      </c>
      <c r="D216" s="82">
        <v>1350000</v>
      </c>
      <c r="E216" s="122">
        <f>C216*D216</f>
        <v>5400000</v>
      </c>
      <c r="G216" s="83">
        <v>42703</v>
      </c>
      <c r="H216" s="83"/>
      <c r="I216" s="75" t="s">
        <v>95</v>
      </c>
      <c r="J216" s="75"/>
      <c r="K216" s="75">
        <v>550</v>
      </c>
      <c r="L216" s="108">
        <f t="shared" ref="L216:L225" si="66">K216*13</f>
        <v>7150</v>
      </c>
      <c r="M216" s="77"/>
      <c r="N216" s="77"/>
      <c r="O216" s="78"/>
    </row>
    <row r="217" spans="1:15" ht="18.75" customHeight="1">
      <c r="A217" s="79">
        <f t="shared" si="64"/>
        <v>140</v>
      </c>
      <c r="B217" s="80" t="s">
        <v>84</v>
      </c>
      <c r="C217" s="117">
        <v>4</v>
      </c>
      <c r="D217" s="82">
        <v>2500000</v>
      </c>
      <c r="E217" s="122">
        <f t="shared" ref="E217" si="67">C217*D217</f>
        <v>10000000</v>
      </c>
      <c r="G217" s="83">
        <v>42703</v>
      </c>
      <c r="H217" s="83"/>
      <c r="I217" s="75" t="s">
        <v>132</v>
      </c>
      <c r="J217" s="75"/>
      <c r="K217" s="75">
        <v>683</v>
      </c>
      <c r="L217" s="108">
        <f t="shared" si="66"/>
        <v>8879</v>
      </c>
      <c r="M217" s="77"/>
      <c r="N217" s="77"/>
      <c r="O217" s="78"/>
    </row>
    <row r="218" spans="1:15" ht="18.75" customHeight="1">
      <c r="A218" s="79">
        <f t="shared" si="64"/>
        <v>141</v>
      </c>
      <c r="B218" s="80" t="s">
        <v>50</v>
      </c>
      <c r="C218" s="117">
        <v>104</v>
      </c>
      <c r="D218" s="82">
        <v>50000</v>
      </c>
      <c r="E218" s="122">
        <f>C218*D218</f>
        <v>5200000</v>
      </c>
      <c r="G218" s="83"/>
      <c r="H218" s="83"/>
      <c r="I218" s="75"/>
      <c r="J218" s="75"/>
      <c r="K218" s="75"/>
      <c r="L218" s="108">
        <f t="shared" si="66"/>
        <v>0</v>
      </c>
      <c r="M218" s="77"/>
      <c r="N218" s="77"/>
      <c r="O218" s="78"/>
    </row>
    <row r="219" spans="1:15" ht="18.75" customHeight="1">
      <c r="A219" s="79">
        <f t="shared" si="64"/>
        <v>142</v>
      </c>
      <c r="B219" s="80" t="s">
        <v>51</v>
      </c>
      <c r="C219" s="117"/>
      <c r="D219" s="82"/>
      <c r="E219" s="122">
        <f>N228</f>
        <v>0</v>
      </c>
      <c r="G219" s="83"/>
      <c r="H219" s="83"/>
      <c r="I219" s="75"/>
      <c r="J219" s="75"/>
      <c r="K219" s="75"/>
      <c r="L219" s="108">
        <f t="shared" si="66"/>
        <v>0</v>
      </c>
      <c r="M219" s="77"/>
      <c r="N219" s="77"/>
      <c r="O219" s="78"/>
    </row>
    <row r="220" spans="1:15" ht="18.75" customHeight="1">
      <c r="A220" s="79"/>
      <c r="B220" s="80"/>
      <c r="C220" s="117"/>
      <c r="D220" s="82"/>
      <c r="E220" s="122"/>
      <c r="G220" s="83"/>
      <c r="H220" s="83"/>
      <c r="I220" s="75"/>
      <c r="J220" s="75"/>
      <c r="K220" s="75"/>
      <c r="L220" s="108">
        <f t="shared" si="66"/>
        <v>0</v>
      </c>
      <c r="M220" s="77"/>
      <c r="N220" s="77"/>
      <c r="O220" s="78"/>
    </row>
    <row r="221" spans="1:15" ht="18.75" customHeight="1">
      <c r="A221" s="79"/>
      <c r="B221" s="80"/>
      <c r="C221" s="117"/>
      <c r="D221" s="82"/>
      <c r="E221" s="122"/>
      <c r="G221" s="83"/>
      <c r="H221" s="83"/>
      <c r="I221" s="75"/>
      <c r="J221" s="75"/>
      <c r="K221" s="75"/>
      <c r="L221" s="108">
        <f t="shared" si="66"/>
        <v>0</v>
      </c>
      <c r="M221" s="77"/>
      <c r="N221" s="77"/>
      <c r="O221" s="78"/>
    </row>
    <row r="222" spans="1:15" ht="18.75" customHeight="1">
      <c r="A222" s="79"/>
      <c r="B222" s="80"/>
      <c r="C222" s="117"/>
      <c r="D222" s="82"/>
      <c r="E222" s="122"/>
      <c r="G222" s="83"/>
      <c r="H222" s="83"/>
      <c r="I222" s="75"/>
      <c r="J222" s="75"/>
      <c r="K222" s="75"/>
      <c r="L222" s="108">
        <f t="shared" si="66"/>
        <v>0</v>
      </c>
      <c r="M222" s="77"/>
      <c r="N222" s="77"/>
      <c r="O222" s="78"/>
    </row>
    <row r="223" spans="1:15" ht="18.75" customHeight="1">
      <c r="A223" s="79"/>
      <c r="B223" s="80"/>
      <c r="C223" s="117"/>
      <c r="D223" s="82"/>
      <c r="E223" s="122"/>
      <c r="G223" s="83"/>
      <c r="H223" s="83"/>
      <c r="I223" s="75"/>
      <c r="J223" s="75"/>
      <c r="K223" s="75"/>
      <c r="L223" s="108">
        <f t="shared" si="66"/>
        <v>0</v>
      </c>
      <c r="M223" s="77"/>
      <c r="N223" s="77"/>
      <c r="O223" s="78"/>
    </row>
    <row r="224" spans="1:15" ht="18.75" customHeight="1">
      <c r="A224" s="79"/>
      <c r="B224" s="80"/>
      <c r="C224" s="117"/>
      <c r="D224" s="82"/>
      <c r="E224" s="122"/>
      <c r="G224" s="83"/>
      <c r="H224" s="83"/>
      <c r="I224" s="75"/>
      <c r="J224" s="75"/>
      <c r="K224" s="75"/>
      <c r="L224" s="108">
        <f t="shared" si="66"/>
        <v>0</v>
      </c>
      <c r="M224" s="77"/>
      <c r="N224" s="77"/>
      <c r="O224" s="78"/>
    </row>
    <row r="225" spans="1:15" ht="18.75" customHeight="1">
      <c r="A225" s="79"/>
      <c r="B225" s="80"/>
      <c r="C225" s="117"/>
      <c r="D225" s="82"/>
      <c r="E225" s="122"/>
      <c r="G225" s="83"/>
      <c r="H225" s="83"/>
      <c r="I225" s="75"/>
      <c r="J225" s="75"/>
      <c r="K225" s="75"/>
      <c r="L225" s="108">
        <f t="shared" si="66"/>
        <v>0</v>
      </c>
      <c r="M225" s="77"/>
      <c r="N225" s="77"/>
      <c r="O225" s="78"/>
    </row>
    <row r="226" spans="1:15" ht="18.75" customHeight="1">
      <c r="A226" s="79"/>
      <c r="B226" s="80"/>
      <c r="C226" s="117"/>
      <c r="D226" s="82"/>
      <c r="E226" s="122"/>
      <c r="G226" s="83"/>
      <c r="H226" s="83"/>
      <c r="I226" s="75"/>
      <c r="J226" s="75"/>
      <c r="K226" s="75"/>
      <c r="L226" s="108">
        <f t="shared" ref="L226" si="68">K226*13</f>
        <v>0</v>
      </c>
      <c r="M226" s="77"/>
      <c r="N226" s="77"/>
      <c r="O226" s="78"/>
    </row>
    <row r="227" spans="1:15" ht="18.75" customHeight="1">
      <c r="A227" s="79"/>
      <c r="B227" s="80"/>
      <c r="C227" s="117"/>
      <c r="D227" s="82"/>
      <c r="E227" s="122"/>
      <c r="G227" s="85"/>
      <c r="H227" s="85"/>
      <c r="I227" s="86"/>
      <c r="J227" s="86"/>
      <c r="K227" s="86"/>
      <c r="L227" s="87"/>
      <c r="M227" s="88"/>
      <c r="N227" s="88"/>
      <c r="O227" s="78"/>
    </row>
    <row r="228" spans="1:15" ht="18.75" customHeight="1">
      <c r="A228" s="79"/>
      <c r="B228" s="80"/>
      <c r="C228" s="117"/>
      <c r="D228" s="82"/>
      <c r="E228" s="122"/>
      <c r="G228" s="92"/>
      <c r="H228" s="92"/>
      <c r="I228" s="92" t="s">
        <v>53</v>
      </c>
      <c r="J228" s="92"/>
      <c r="K228" s="109">
        <f>SUM(K208:K227)</f>
        <v>5448</v>
      </c>
      <c r="L228" s="109">
        <f>SUM(L208:L227)</f>
        <v>70824</v>
      </c>
      <c r="M228" s="109"/>
      <c r="N228" s="93">
        <f>SUM(N208:N227)</f>
        <v>0</v>
      </c>
      <c r="O228" s="78"/>
    </row>
    <row r="229" spans="1:15" ht="18.75" customHeight="1">
      <c r="A229" s="79"/>
      <c r="B229" s="80"/>
      <c r="C229" s="117"/>
      <c r="D229" s="82"/>
      <c r="E229" s="122"/>
      <c r="O229" s="78"/>
    </row>
    <row r="230" spans="1:15" ht="18.75" customHeight="1">
      <c r="A230" s="79"/>
      <c r="B230" s="80"/>
      <c r="C230" s="117"/>
      <c r="D230" s="82"/>
      <c r="E230" s="122"/>
      <c r="O230" s="78"/>
    </row>
    <row r="231" spans="1:15" ht="7.5" customHeight="1">
      <c r="A231" s="79"/>
      <c r="B231" s="80"/>
      <c r="C231" s="117"/>
      <c r="D231" s="82"/>
      <c r="E231" s="122"/>
    </row>
    <row r="232" spans="1:15" ht="18.75" customHeight="1">
      <c r="A232" s="89"/>
      <c r="B232" s="89" t="s">
        <v>53</v>
      </c>
      <c r="C232" s="118"/>
      <c r="D232" s="91"/>
      <c r="E232" s="93">
        <f>SUM(E208:E231)</f>
        <v>196935112</v>
      </c>
      <c r="F232" s="23"/>
    </row>
    <row r="233" spans="1:15" ht="7.5" customHeight="1"/>
    <row r="234" spans="1:15" s="22" customFormat="1">
      <c r="A234" s="24"/>
      <c r="B234" s="24"/>
      <c r="C234" s="119"/>
      <c r="D234" s="26" t="s">
        <v>54</v>
      </c>
      <c r="E234" s="123">
        <f>E232/C208</f>
        <v>1893.6068461538462</v>
      </c>
      <c r="F234" s="24"/>
    </row>
  </sheetData>
  <mergeCells count="66">
    <mergeCell ref="F128:H128"/>
    <mergeCell ref="F129:H129"/>
    <mergeCell ref="F130:H130"/>
    <mergeCell ref="F132:H132"/>
    <mergeCell ref="F133:H133"/>
    <mergeCell ref="F100:H100"/>
    <mergeCell ref="F94:H94"/>
    <mergeCell ref="F92:H92"/>
    <mergeCell ref="F93:H93"/>
    <mergeCell ref="F96:H96"/>
    <mergeCell ref="F98:H98"/>
    <mergeCell ref="F99:H99"/>
    <mergeCell ref="F95:H95"/>
    <mergeCell ref="F97:H97"/>
    <mergeCell ref="F89:H89"/>
    <mergeCell ref="F90:H90"/>
    <mergeCell ref="F85:H85"/>
    <mergeCell ref="F86:H86"/>
    <mergeCell ref="F87:H87"/>
    <mergeCell ref="F88:H88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135:H135"/>
    <mergeCell ref="F136:H136"/>
    <mergeCell ref="F137:H137"/>
    <mergeCell ref="F131:H131"/>
    <mergeCell ref="F139:H139"/>
    <mergeCell ref="F134:H134"/>
    <mergeCell ref="F144:H144"/>
    <mergeCell ref="F145:H145"/>
    <mergeCell ref="F146:H146"/>
    <mergeCell ref="F147:H147"/>
    <mergeCell ref="F140:H140"/>
    <mergeCell ref="F141:H141"/>
    <mergeCell ref="F142:H142"/>
    <mergeCell ref="F143:H143"/>
    <mergeCell ref="A150:E150"/>
    <mergeCell ref="F188:H188"/>
    <mergeCell ref="F189:H189"/>
    <mergeCell ref="F194:H194"/>
    <mergeCell ref="F190:H190"/>
    <mergeCell ref="F191:H191"/>
    <mergeCell ref="A205:E205"/>
    <mergeCell ref="F177:H177"/>
    <mergeCell ref="F178:H178"/>
    <mergeCell ref="F179:H179"/>
    <mergeCell ref="F180:H180"/>
    <mergeCell ref="F181:H181"/>
    <mergeCell ref="F195:H195"/>
    <mergeCell ref="F197:H197"/>
    <mergeCell ref="F196:H196"/>
    <mergeCell ref="F198:H198"/>
    <mergeCell ref="F199:H199"/>
    <mergeCell ref="F182:H182"/>
    <mergeCell ref="F183:H183"/>
    <mergeCell ref="F184:H184"/>
  </mergeCells>
  <pageMargins left="0.16" right="0.16" top="0.19" bottom="0.25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TD-TQ</vt:lpstr>
      <vt:lpstr>GC - TQ (T8)</vt:lpstr>
      <vt:lpstr>19-10</vt:lpstr>
      <vt:lpstr>'19-10'!Print_Area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2016-12-06T09:13:23Z</cp:lastPrinted>
  <dcterms:created xsi:type="dcterms:W3CDTF">2016-10-31T06:49:38Z</dcterms:created>
  <dcterms:modified xsi:type="dcterms:W3CDTF">2016-12-06T09:14:14Z</dcterms:modified>
</cp:coreProperties>
</file>