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05" windowWidth="21840" windowHeight="9075" activeTab="1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U&amp;P" sheetId="8" r:id="rId6"/>
    <sheet name="04-16" sheetId="9" r:id="rId7"/>
    <sheet name="05-16" sheetId="10" r:id="rId8"/>
    <sheet name="06-16" sheetId="11" r:id="rId9"/>
    <sheet name="08-16" sheetId="12" r:id="rId10"/>
    <sheet name="09-16" sheetId="13" r:id="rId11"/>
    <sheet name="10-16" sheetId="14" r:id="rId12"/>
    <sheet name="11-16" sheetId="15" r:id="rId13"/>
  </sheets>
  <externalReferences>
    <externalReference r:id="rId14"/>
  </externalReferences>
  <definedNames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5" hidden="1">#REF!</definedName>
    <definedName name="_Fill" hidden="1">#REF!</definedName>
    <definedName name="_xlnm._FilterDatabase" localSheetId="6" hidden="1">'04-16'!$A$3:$S$26</definedName>
    <definedName name="_xlnm._FilterDatabase" localSheetId="7" hidden="1">'05-16'!$A$3:$S$25</definedName>
    <definedName name="_xlnm._FilterDatabase" localSheetId="8" hidden="1">'06-16'!$A$3:$S$25</definedName>
    <definedName name="_xlnm._FilterDatabase" localSheetId="9" hidden="1">'08-16'!$A$3:$S$21</definedName>
    <definedName name="_xlnm._FilterDatabase" localSheetId="10" hidden="1">'09-16'!$A$3:$S$21</definedName>
    <definedName name="_xlnm._FilterDatabase" localSheetId="11" hidden="1">'10-16'!$A$3:$S$21</definedName>
    <definedName name="_xlnm._FilterDatabase" localSheetId="12" hidden="1">'11-16'!$A$3:$S$23</definedName>
    <definedName name="_xlnm._FilterDatabase" localSheetId="0" hidden="1">TH!$B$3:$X$157</definedName>
    <definedName name="Dong">IF(Loai="p1",ROW(Loai)-1,"")</definedName>
    <definedName name="DS">TH!$A$4:$Q$156</definedName>
    <definedName name="Loai">OFFSET(TH!$R$4,,,COUNTA(TH!$R$4:$R$39727))</definedName>
    <definedName name="N_1">TH!$R$4:$R$156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6">'04-16'!$2:$3</definedName>
    <definedName name="_xlnm.Print_Titles" localSheetId="7">'05-16'!$2:$3</definedName>
    <definedName name="_xlnm.Print_Titles" localSheetId="8">'06-16'!$2:$3</definedName>
    <definedName name="_xlnm.Print_Titles" localSheetId="9">'08-16'!$2:$3</definedName>
    <definedName name="_xlnm.Print_Titles" localSheetId="10">'09-16'!$2:$3</definedName>
    <definedName name="_xlnm.Print_Titles" localSheetId="11">'10-16'!$2:$3</definedName>
    <definedName name="_xlnm.Print_Titles" localSheetId="12">'11-16'!$2:$3</definedName>
  </definedNames>
  <calcPr calcId="144525"/>
</workbook>
</file>

<file path=xl/calcChain.xml><?xml version="1.0" encoding="utf-8"?>
<calcChain xmlns="http://schemas.openxmlformats.org/spreadsheetml/2006/main">
  <c r="P124" i="5" l="1"/>
  <c r="B128" i="5" l="1"/>
  <c r="B127" i="5"/>
  <c r="B126" i="5"/>
  <c r="B125" i="5"/>
  <c r="B124" i="5"/>
  <c r="B123" i="5"/>
  <c r="B122" i="5"/>
  <c r="B121" i="5"/>
  <c r="B120" i="5"/>
  <c r="B119" i="5"/>
  <c r="B118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48" i="5"/>
  <c r="B147" i="5"/>
  <c r="B146" i="5"/>
  <c r="B145" i="5"/>
  <c r="B144" i="5"/>
  <c r="B143" i="5"/>
  <c r="B142" i="5"/>
  <c r="B141" i="5"/>
  <c r="R128" i="5" l="1"/>
  <c r="A127" i="5"/>
  <c r="R125" i="5"/>
  <c r="A123" i="5"/>
  <c r="R121" i="5"/>
  <c r="A119" i="5"/>
  <c r="R126" i="5"/>
  <c r="A124" i="5"/>
  <c r="R122" i="5"/>
  <c r="R118" i="5"/>
  <c r="A128" i="5"/>
  <c r="R127" i="5"/>
  <c r="A125" i="5"/>
  <c r="R123" i="5"/>
  <c r="A121" i="5"/>
  <c r="R119" i="5"/>
  <c r="A126" i="5"/>
  <c r="R124" i="5"/>
  <c r="A122" i="5"/>
  <c r="R120" i="5"/>
  <c r="A118" i="5"/>
  <c r="A120" i="5"/>
  <c r="R140" i="5"/>
  <c r="R137" i="5"/>
  <c r="A135" i="5"/>
  <c r="A131" i="5"/>
  <c r="R134" i="5"/>
  <c r="A132" i="5"/>
  <c r="R130" i="5"/>
  <c r="A140" i="5"/>
  <c r="R138" i="5"/>
  <c r="R139" i="5"/>
  <c r="A137" i="5"/>
  <c r="R135" i="5"/>
  <c r="A133" i="5"/>
  <c r="R131" i="5"/>
  <c r="A129" i="5"/>
  <c r="A138" i="5"/>
  <c r="R136" i="5"/>
  <c r="A134" i="5"/>
  <c r="R132" i="5"/>
  <c r="A130" i="5"/>
  <c r="A139" i="5"/>
  <c r="R133" i="5"/>
  <c r="R129" i="5"/>
  <c r="A136" i="5"/>
  <c r="R148" i="5"/>
  <c r="A146" i="5"/>
  <c r="R144" i="5"/>
  <c r="A142" i="5"/>
  <c r="A147" i="5"/>
  <c r="A143" i="5"/>
  <c r="A148" i="5"/>
  <c r="R146" i="5"/>
  <c r="A144" i="5"/>
  <c r="R142" i="5"/>
  <c r="A141" i="5"/>
  <c r="R145" i="5"/>
  <c r="R141" i="5"/>
  <c r="R147" i="5"/>
  <c r="A145" i="5"/>
  <c r="R143" i="5"/>
  <c r="L20" i="15"/>
  <c r="A20" i="15"/>
  <c r="A21" i="15"/>
  <c r="P12" i="15" l="1"/>
  <c r="P11" i="15"/>
  <c r="P13" i="15"/>
  <c r="P14" i="15"/>
  <c r="P15" i="15"/>
  <c r="P16" i="15"/>
  <c r="P17" i="15"/>
  <c r="P18" i="15"/>
  <c r="P19" i="15"/>
  <c r="N19" i="15" s="1"/>
  <c r="N41" i="15"/>
  <c r="J41" i="15"/>
  <c r="I41" i="15"/>
  <c r="G41" i="15"/>
  <c r="F41" i="15"/>
  <c r="E41" i="15"/>
  <c r="P38" i="15"/>
  <c r="O38" i="15"/>
  <c r="L38" i="15"/>
  <c r="L41" i="15" s="1"/>
  <c r="K38" i="15"/>
  <c r="A38" i="15"/>
  <c r="P37" i="15"/>
  <c r="O37" i="15"/>
  <c r="M37" i="15"/>
  <c r="K37" i="15"/>
  <c r="A37" i="15"/>
  <c r="P36" i="15"/>
  <c r="O36" i="15"/>
  <c r="M36" i="15"/>
  <c r="K36" i="15"/>
  <c r="A36" i="15"/>
  <c r="P35" i="15"/>
  <c r="O35" i="15"/>
  <c r="M35" i="15"/>
  <c r="K35" i="15"/>
  <c r="A35" i="15"/>
  <c r="P34" i="15"/>
  <c r="O34" i="15"/>
  <c r="M34" i="15"/>
  <c r="K34" i="15"/>
  <c r="A34" i="15"/>
  <c r="P33" i="15"/>
  <c r="O33" i="15"/>
  <c r="M33" i="15"/>
  <c r="K33" i="15"/>
  <c r="A33" i="15"/>
  <c r="P32" i="15"/>
  <c r="O32" i="15"/>
  <c r="M32" i="15"/>
  <c r="K32" i="15"/>
  <c r="A32" i="15"/>
  <c r="P31" i="15"/>
  <c r="O31" i="15"/>
  <c r="M31" i="15"/>
  <c r="K31" i="15"/>
  <c r="A31" i="15"/>
  <c r="P30" i="15"/>
  <c r="O30" i="15"/>
  <c r="M30" i="15"/>
  <c r="K30" i="15"/>
  <c r="A30" i="15"/>
  <c r="P29" i="15"/>
  <c r="O29" i="15"/>
  <c r="M29" i="15"/>
  <c r="K29" i="15"/>
  <c r="A29" i="15"/>
  <c r="P28" i="15"/>
  <c r="O28" i="15"/>
  <c r="M28" i="15"/>
  <c r="K28" i="15"/>
  <c r="A28" i="15"/>
  <c r="P27" i="15"/>
  <c r="O27" i="15"/>
  <c r="M27" i="15"/>
  <c r="K27" i="15"/>
  <c r="A27" i="15"/>
  <c r="P26" i="15"/>
  <c r="O26" i="15"/>
  <c r="M26" i="15"/>
  <c r="K26" i="15"/>
  <c r="A26" i="15"/>
  <c r="P25" i="15"/>
  <c r="O25" i="15"/>
  <c r="M25" i="15"/>
  <c r="K25" i="15"/>
  <c r="A25" i="15"/>
  <c r="P24" i="15"/>
  <c r="P41" i="15" s="1"/>
  <c r="O24" i="15"/>
  <c r="O41" i="15" s="1"/>
  <c r="M24" i="15"/>
  <c r="K24" i="15"/>
  <c r="A24" i="15"/>
  <c r="M23" i="15"/>
  <c r="K23" i="15"/>
  <c r="J23" i="15"/>
  <c r="I23" i="15"/>
  <c r="E23" i="15"/>
  <c r="O19" i="15"/>
  <c r="L19" i="15"/>
  <c r="A19" i="15"/>
  <c r="O18" i="15"/>
  <c r="L18" i="15"/>
  <c r="A18" i="15"/>
  <c r="O17" i="15"/>
  <c r="L17" i="15"/>
  <c r="A17" i="15"/>
  <c r="O16" i="15"/>
  <c r="L16" i="15"/>
  <c r="A16" i="15"/>
  <c r="O15" i="15"/>
  <c r="L15" i="15"/>
  <c r="A15" i="15"/>
  <c r="T14" i="15"/>
  <c r="O14" i="15"/>
  <c r="L14" i="15"/>
  <c r="A14" i="15"/>
  <c r="O13" i="15"/>
  <c r="L13" i="15"/>
  <c r="A13" i="15"/>
  <c r="O12" i="15"/>
  <c r="L12" i="15"/>
  <c r="A12" i="15"/>
  <c r="O11" i="15"/>
  <c r="A11" i="15"/>
  <c r="O10" i="15"/>
  <c r="L10" i="15"/>
  <c r="P10" i="15"/>
  <c r="A10" i="15"/>
  <c r="N9" i="15"/>
  <c r="J9" i="15"/>
  <c r="G9" i="15"/>
  <c r="G23" i="15" s="1"/>
  <c r="F9" i="15"/>
  <c r="P7" i="15"/>
  <c r="O7" i="15"/>
  <c r="L7" i="15"/>
  <c r="A7" i="15"/>
  <c r="P6" i="15"/>
  <c r="O6" i="15"/>
  <c r="L6" i="15"/>
  <c r="A6" i="15"/>
  <c r="P5" i="15"/>
  <c r="O5" i="15"/>
  <c r="L5" i="15"/>
  <c r="A5" i="15"/>
  <c r="P4" i="15"/>
  <c r="O4" i="15"/>
  <c r="L4" i="15"/>
  <c r="L9" i="15" s="1"/>
  <c r="A4" i="15"/>
  <c r="P9" i="15" l="1"/>
  <c r="O9" i="15"/>
  <c r="L11" i="15"/>
  <c r="L23" i="15" s="1"/>
  <c r="O23" i="15"/>
  <c r="K41" i="15"/>
  <c r="M41" i="15"/>
  <c r="P23" i="15"/>
  <c r="F23" i="15"/>
  <c r="P99" i="5"/>
  <c r="B96" i="5" l="1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9" i="5"/>
  <c r="B150" i="5"/>
  <c r="B151" i="5"/>
  <c r="B152" i="5"/>
  <c r="B153" i="5"/>
  <c r="B154" i="5"/>
  <c r="P95" i="5" l="1"/>
  <c r="A5" i="5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9" i="5"/>
  <c r="A150" i="5"/>
  <c r="A151" i="5"/>
  <c r="A152" i="5"/>
  <c r="A153" i="5"/>
  <c r="A154" i="5"/>
  <c r="A155" i="5"/>
  <c r="A156" i="5"/>
  <c r="B88" i="5"/>
  <c r="B89" i="5"/>
  <c r="B90" i="5"/>
  <c r="B91" i="5"/>
  <c r="B92" i="5"/>
  <c r="B93" i="5"/>
  <c r="B94" i="5"/>
  <c r="B95" i="5"/>
  <c r="R82" i="5"/>
  <c r="R83" i="5"/>
  <c r="R84" i="5"/>
  <c r="R89" i="5"/>
  <c r="R85" i="5"/>
  <c r="R86" i="5"/>
  <c r="R87" i="5"/>
  <c r="R88" i="5"/>
  <c r="R90" i="5"/>
  <c r="R91" i="5"/>
  <c r="R92" i="5"/>
  <c r="R93" i="5"/>
  <c r="R94" i="5"/>
  <c r="R95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6" i="5"/>
  <c r="R67" i="5"/>
  <c r="R68" i="5"/>
  <c r="R71" i="5"/>
  <c r="R72" i="5"/>
  <c r="R73" i="5"/>
  <c r="R74" i="5"/>
  <c r="R75" i="5"/>
  <c r="R76" i="5"/>
  <c r="R77" i="5"/>
  <c r="R78" i="5"/>
  <c r="R79" i="5"/>
  <c r="R80" i="5"/>
  <c r="R81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49" i="5"/>
  <c r="R150" i="5"/>
  <c r="R151" i="5"/>
  <c r="R152" i="5"/>
  <c r="R153" i="5"/>
  <c r="R154" i="5"/>
  <c r="R155" i="5"/>
  <c r="R156" i="5"/>
  <c r="B74" i="5" l="1"/>
  <c r="B73" i="5" l="1"/>
  <c r="P70" i="5" l="1"/>
  <c r="R70" i="5" s="1"/>
  <c r="P69" i="5" l="1"/>
  <c r="R69" i="5" s="1"/>
  <c r="F21" i="14" l="1"/>
  <c r="N39" i="14"/>
  <c r="J39" i="14"/>
  <c r="I39" i="14"/>
  <c r="G39" i="14"/>
  <c r="F39" i="14"/>
  <c r="E39" i="14"/>
  <c r="P36" i="14"/>
  <c r="O36" i="14"/>
  <c r="L36" i="14"/>
  <c r="L39" i="14" s="1"/>
  <c r="K36" i="14"/>
  <c r="A36" i="14"/>
  <c r="P35" i="14"/>
  <c r="O35" i="14"/>
  <c r="M35" i="14"/>
  <c r="K35" i="14"/>
  <c r="A35" i="14"/>
  <c r="P34" i="14"/>
  <c r="O34" i="14"/>
  <c r="M34" i="14"/>
  <c r="K34" i="14"/>
  <c r="A34" i="14"/>
  <c r="P33" i="14"/>
  <c r="O33" i="14"/>
  <c r="M33" i="14"/>
  <c r="K33" i="14"/>
  <c r="A33" i="14"/>
  <c r="P32" i="14"/>
  <c r="O32" i="14"/>
  <c r="M32" i="14"/>
  <c r="K32" i="14"/>
  <c r="A32" i="14"/>
  <c r="P31" i="14"/>
  <c r="O31" i="14"/>
  <c r="M31" i="14"/>
  <c r="K31" i="14"/>
  <c r="A31" i="14"/>
  <c r="P30" i="14"/>
  <c r="O30" i="14"/>
  <c r="M30" i="14"/>
  <c r="K30" i="14"/>
  <c r="A30" i="14"/>
  <c r="P29" i="14"/>
  <c r="O29" i="14"/>
  <c r="M29" i="14"/>
  <c r="K29" i="14"/>
  <c r="A29" i="14"/>
  <c r="P28" i="14"/>
  <c r="O28" i="14"/>
  <c r="M28" i="14"/>
  <c r="K28" i="14"/>
  <c r="A28" i="14"/>
  <c r="P27" i="14"/>
  <c r="O27" i="14"/>
  <c r="M27" i="14"/>
  <c r="K27" i="14"/>
  <c r="A27" i="14"/>
  <c r="P26" i="14"/>
  <c r="O26" i="14"/>
  <c r="M26" i="14"/>
  <c r="K26" i="14"/>
  <c r="A26" i="14"/>
  <c r="P25" i="14"/>
  <c r="O25" i="14"/>
  <c r="M25" i="14"/>
  <c r="K25" i="14"/>
  <c r="A25" i="14"/>
  <c r="P24" i="14"/>
  <c r="O24" i="14"/>
  <c r="M24" i="14"/>
  <c r="K24" i="14"/>
  <c r="A24" i="14"/>
  <c r="P23" i="14"/>
  <c r="O23" i="14"/>
  <c r="M23" i="14"/>
  <c r="K23" i="14"/>
  <c r="A23" i="14"/>
  <c r="P22" i="14"/>
  <c r="P39" i="14" s="1"/>
  <c r="O22" i="14"/>
  <c r="O39" i="14" s="1"/>
  <c r="M22" i="14"/>
  <c r="M39" i="14" s="1"/>
  <c r="K22" i="14"/>
  <c r="K39" i="14" s="1"/>
  <c r="A22" i="14"/>
  <c r="M21" i="14"/>
  <c r="K21" i="14"/>
  <c r="J21" i="14"/>
  <c r="I21" i="14"/>
  <c r="E21" i="14"/>
  <c r="P19" i="14"/>
  <c r="N19" i="14" s="1"/>
  <c r="O19" i="14"/>
  <c r="L19" i="14"/>
  <c r="A19" i="14"/>
  <c r="P18" i="14"/>
  <c r="O18" i="14"/>
  <c r="L18" i="14"/>
  <c r="A18" i="14"/>
  <c r="P17" i="14"/>
  <c r="O17" i="14"/>
  <c r="L17" i="14"/>
  <c r="A17" i="14"/>
  <c r="P16" i="14"/>
  <c r="O16" i="14"/>
  <c r="L16" i="14"/>
  <c r="A16" i="14"/>
  <c r="P15" i="14"/>
  <c r="O15" i="14"/>
  <c r="L15" i="14"/>
  <c r="A15" i="14"/>
  <c r="T14" i="14"/>
  <c r="P14" i="14"/>
  <c r="O14" i="14"/>
  <c r="L14" i="14"/>
  <c r="A14" i="14"/>
  <c r="O13" i="14"/>
  <c r="L13" i="14"/>
  <c r="A13" i="14"/>
  <c r="O12" i="14"/>
  <c r="L12" i="14"/>
  <c r="F12" i="14"/>
  <c r="P12" i="14" s="1"/>
  <c r="A12" i="14"/>
  <c r="O11" i="14"/>
  <c r="L11" i="14"/>
  <c r="F11" i="14"/>
  <c r="P11" i="14" s="1"/>
  <c r="A11" i="14"/>
  <c r="P10" i="14"/>
  <c r="O10" i="14"/>
  <c r="L10" i="14"/>
  <c r="F10" i="14"/>
  <c r="A10" i="14"/>
  <c r="N9" i="14"/>
  <c r="L9" i="14"/>
  <c r="J9" i="14"/>
  <c r="G9" i="14"/>
  <c r="G21" i="14" s="1"/>
  <c r="F9" i="14"/>
  <c r="P7" i="14"/>
  <c r="O7" i="14"/>
  <c r="L7" i="14"/>
  <c r="A7" i="14"/>
  <c r="P6" i="14"/>
  <c r="O6" i="14"/>
  <c r="L6" i="14"/>
  <c r="A6" i="14"/>
  <c r="P5" i="14"/>
  <c r="O5" i="14"/>
  <c r="L5" i="14"/>
  <c r="A5" i="14"/>
  <c r="P4" i="14"/>
  <c r="P9" i="14" s="1"/>
  <c r="O4" i="14"/>
  <c r="O9" i="14" s="1"/>
  <c r="L4" i="14"/>
  <c r="A4" i="14"/>
  <c r="L21" i="14" l="1"/>
  <c r="O21" i="14"/>
  <c r="P13" i="14"/>
  <c r="P21" i="14" s="1"/>
  <c r="P65" i="5"/>
  <c r="R65" i="5" s="1"/>
  <c r="N39" i="13" l="1"/>
  <c r="J39" i="13"/>
  <c r="I39" i="13"/>
  <c r="G39" i="13"/>
  <c r="F39" i="13"/>
  <c r="E39" i="13"/>
  <c r="P36" i="13"/>
  <c r="O36" i="13"/>
  <c r="L36" i="13"/>
  <c r="L39" i="13" s="1"/>
  <c r="K36" i="13"/>
  <c r="A36" i="13"/>
  <c r="P35" i="13"/>
  <c r="O35" i="13"/>
  <c r="M35" i="13"/>
  <c r="K35" i="13"/>
  <c r="A35" i="13"/>
  <c r="P34" i="13"/>
  <c r="O34" i="13"/>
  <c r="M34" i="13"/>
  <c r="K34" i="13"/>
  <c r="A34" i="13"/>
  <c r="P33" i="13"/>
  <c r="O33" i="13"/>
  <c r="M33" i="13"/>
  <c r="K33" i="13"/>
  <c r="A33" i="13"/>
  <c r="P32" i="13"/>
  <c r="O32" i="13"/>
  <c r="M32" i="13"/>
  <c r="K32" i="13"/>
  <c r="A32" i="13"/>
  <c r="P31" i="13"/>
  <c r="O31" i="13"/>
  <c r="M31" i="13"/>
  <c r="K31" i="13"/>
  <c r="A31" i="13"/>
  <c r="P30" i="13"/>
  <c r="O30" i="13"/>
  <c r="M30" i="13"/>
  <c r="K30" i="13"/>
  <c r="A30" i="13"/>
  <c r="P29" i="13"/>
  <c r="O29" i="13"/>
  <c r="M29" i="13"/>
  <c r="K29" i="13"/>
  <c r="A29" i="13"/>
  <c r="P28" i="13"/>
  <c r="O28" i="13"/>
  <c r="M28" i="13"/>
  <c r="K28" i="13"/>
  <c r="A28" i="13"/>
  <c r="P27" i="13"/>
  <c r="O27" i="13"/>
  <c r="M27" i="13"/>
  <c r="K27" i="13"/>
  <c r="A27" i="13"/>
  <c r="P26" i="13"/>
  <c r="O26" i="13"/>
  <c r="M26" i="13"/>
  <c r="K26" i="13"/>
  <c r="A26" i="13"/>
  <c r="P25" i="13"/>
  <c r="O25" i="13"/>
  <c r="M25" i="13"/>
  <c r="K25" i="13"/>
  <c r="A25" i="13"/>
  <c r="P24" i="13"/>
  <c r="O24" i="13"/>
  <c r="M24" i="13"/>
  <c r="K24" i="13"/>
  <c r="A24" i="13"/>
  <c r="P23" i="13"/>
  <c r="O23" i="13"/>
  <c r="M23" i="13"/>
  <c r="K23" i="13"/>
  <c r="A23" i="13"/>
  <c r="P22" i="13"/>
  <c r="P39" i="13" s="1"/>
  <c r="O22" i="13"/>
  <c r="O39" i="13" s="1"/>
  <c r="M22" i="13"/>
  <c r="M39" i="13" s="1"/>
  <c r="K22" i="13"/>
  <c r="K39" i="13" s="1"/>
  <c r="A22" i="13"/>
  <c r="M21" i="13"/>
  <c r="K21" i="13"/>
  <c r="J21" i="13"/>
  <c r="I21" i="13"/>
  <c r="P18" i="13"/>
  <c r="O18" i="13"/>
  <c r="L18" i="13"/>
  <c r="A18" i="13"/>
  <c r="P17" i="13"/>
  <c r="O17" i="13"/>
  <c r="L17" i="13"/>
  <c r="A17" i="13"/>
  <c r="P16" i="13"/>
  <c r="O16" i="13"/>
  <c r="L16" i="13"/>
  <c r="E21" i="13"/>
  <c r="A16" i="13"/>
  <c r="P15" i="13"/>
  <c r="O15" i="13"/>
  <c r="L15" i="13"/>
  <c r="A15" i="13"/>
  <c r="T14" i="13"/>
  <c r="P14" i="13"/>
  <c r="O14" i="13"/>
  <c r="L14" i="13"/>
  <c r="A14" i="13"/>
  <c r="O19" i="13"/>
  <c r="L19" i="13"/>
  <c r="A19" i="13"/>
  <c r="O13" i="13"/>
  <c r="L13" i="13"/>
  <c r="F13" i="13"/>
  <c r="P13" i="13" s="1"/>
  <c r="A13" i="13"/>
  <c r="O12" i="13"/>
  <c r="L12" i="13"/>
  <c r="F12" i="13"/>
  <c r="P12" i="13" s="1"/>
  <c r="A12" i="13"/>
  <c r="O11" i="13"/>
  <c r="F11" i="13"/>
  <c r="L11" i="13" s="1"/>
  <c r="A11" i="13"/>
  <c r="O10" i="13"/>
  <c r="F10" i="13"/>
  <c r="P10" i="13" s="1"/>
  <c r="A10" i="13"/>
  <c r="N9" i="13"/>
  <c r="L9" i="13"/>
  <c r="J9" i="13"/>
  <c r="G9" i="13"/>
  <c r="G21" i="13" s="1"/>
  <c r="F9" i="13"/>
  <c r="P7" i="13"/>
  <c r="O7" i="13"/>
  <c r="L7" i="13"/>
  <c r="A7" i="13"/>
  <c r="P6" i="13"/>
  <c r="O6" i="13"/>
  <c r="L6" i="13"/>
  <c r="A6" i="13"/>
  <c r="P5" i="13"/>
  <c r="O5" i="13"/>
  <c r="L5" i="13"/>
  <c r="A5" i="13"/>
  <c r="P4" i="13"/>
  <c r="P9" i="13" s="1"/>
  <c r="O4" i="13"/>
  <c r="O9" i="13" s="1"/>
  <c r="L4" i="13"/>
  <c r="A4" i="13"/>
  <c r="P11" i="13" l="1"/>
  <c r="O21" i="13"/>
  <c r="P19" i="13"/>
  <c r="N19" i="13" s="1"/>
  <c r="L10" i="13"/>
  <c r="L21" i="13" s="1"/>
  <c r="F21" i="13"/>
  <c r="P21" i="13" l="1"/>
  <c r="T15" i="12" l="1"/>
  <c r="N14" i="12"/>
  <c r="E17" i="12" l="1"/>
  <c r="E16" i="12"/>
  <c r="M23" i="12" l="1"/>
  <c r="M24" i="12"/>
  <c r="M25" i="12"/>
  <c r="M26" i="12"/>
  <c r="M27" i="12"/>
  <c r="M28" i="12"/>
  <c r="M29" i="12"/>
  <c r="M30" i="12"/>
  <c r="M31" i="12"/>
  <c r="M32" i="12"/>
  <c r="M33" i="12"/>
  <c r="M34" i="12"/>
  <c r="M35" i="12"/>
  <c r="M22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12" i="12"/>
  <c r="O11" i="12"/>
  <c r="O13" i="12"/>
  <c r="O10" i="12"/>
  <c r="O15" i="12"/>
  <c r="O16" i="12"/>
  <c r="O17" i="12"/>
  <c r="O18" i="12"/>
  <c r="O19" i="12"/>
  <c r="O14" i="12"/>
  <c r="O4" i="12"/>
  <c r="O5" i="12"/>
  <c r="O6" i="12"/>
  <c r="O7" i="12"/>
  <c r="P4" i="12" l="1"/>
  <c r="P5" i="12"/>
  <c r="P6" i="12"/>
  <c r="P7" i="12"/>
  <c r="P15" i="12"/>
  <c r="P16" i="12"/>
  <c r="P17" i="12"/>
  <c r="P18" i="12"/>
  <c r="P19" i="12"/>
  <c r="F14" i="12" l="1"/>
  <c r="P14" i="12" s="1"/>
  <c r="F12" i="12"/>
  <c r="P12" i="12" s="1"/>
  <c r="F11" i="12"/>
  <c r="P11" i="12" s="1"/>
  <c r="F13" i="12"/>
  <c r="P13" i="12" s="1"/>
  <c r="F10" i="12"/>
  <c r="P10" i="12" s="1"/>
  <c r="A17" i="12"/>
  <c r="L17" i="12"/>
  <c r="A18" i="12"/>
  <c r="L18" i="12"/>
  <c r="A12" i="12"/>
  <c r="A11" i="12"/>
  <c r="A13" i="12"/>
  <c r="A10" i="12"/>
  <c r="A19" i="12"/>
  <c r="A15" i="12"/>
  <c r="A16" i="12"/>
  <c r="A14" i="12"/>
  <c r="A5" i="12"/>
  <c r="A6" i="12"/>
  <c r="A7" i="12"/>
  <c r="A4" i="12"/>
  <c r="N39" i="12"/>
  <c r="J39" i="12"/>
  <c r="I39" i="12"/>
  <c r="G39" i="12"/>
  <c r="F39" i="12"/>
  <c r="E39" i="12"/>
  <c r="P36" i="12"/>
  <c r="L36" i="12"/>
  <c r="L39" i="12" s="1"/>
  <c r="K36" i="12"/>
  <c r="A36" i="12"/>
  <c r="P35" i="12"/>
  <c r="K35" i="12"/>
  <c r="A35" i="12"/>
  <c r="P34" i="12"/>
  <c r="K34" i="12"/>
  <c r="A34" i="12"/>
  <c r="P33" i="12"/>
  <c r="K33" i="12"/>
  <c r="A33" i="12"/>
  <c r="P32" i="12"/>
  <c r="K32" i="12"/>
  <c r="A32" i="12"/>
  <c r="P31" i="12"/>
  <c r="K31" i="12"/>
  <c r="A31" i="12"/>
  <c r="P30" i="12"/>
  <c r="K30" i="12"/>
  <c r="A30" i="12"/>
  <c r="P29" i="12"/>
  <c r="K29" i="12"/>
  <c r="A29" i="12"/>
  <c r="P28" i="12"/>
  <c r="K28" i="12"/>
  <c r="A28" i="12"/>
  <c r="P27" i="12"/>
  <c r="K27" i="12"/>
  <c r="A27" i="12"/>
  <c r="P26" i="12"/>
  <c r="K26" i="12"/>
  <c r="A26" i="12"/>
  <c r="P25" i="12"/>
  <c r="K25" i="12"/>
  <c r="A25" i="12"/>
  <c r="P24" i="12"/>
  <c r="K24" i="12"/>
  <c r="A24" i="12"/>
  <c r="P23" i="12"/>
  <c r="K23" i="12"/>
  <c r="A23" i="12"/>
  <c r="P22" i="12"/>
  <c r="K22" i="12"/>
  <c r="K39" i="12" s="1"/>
  <c r="A22" i="12"/>
  <c r="M21" i="12"/>
  <c r="K21" i="12"/>
  <c r="J21" i="12"/>
  <c r="I21" i="12"/>
  <c r="E21" i="12"/>
  <c r="L16" i="12"/>
  <c r="L15" i="12"/>
  <c r="L19" i="12"/>
  <c r="L13" i="12"/>
  <c r="L12" i="12"/>
  <c r="L14" i="12"/>
  <c r="N9" i="12"/>
  <c r="J9" i="12"/>
  <c r="F9" i="12"/>
  <c r="L7" i="12"/>
  <c r="L6" i="12"/>
  <c r="L5" i="12"/>
  <c r="L4" i="12"/>
  <c r="G9" i="12"/>
  <c r="N43" i="11"/>
  <c r="J43" i="11"/>
  <c r="I43" i="11"/>
  <c r="G43" i="11"/>
  <c r="F43" i="11"/>
  <c r="E43" i="11"/>
  <c r="Q40" i="11"/>
  <c r="O40" i="11" s="1"/>
  <c r="P40" i="11"/>
  <c r="L40" i="11"/>
  <c r="L43" i="11" s="1"/>
  <c r="K40" i="11"/>
  <c r="A40" i="11"/>
  <c r="Q39" i="11"/>
  <c r="O39" i="11" s="1"/>
  <c r="P39" i="11"/>
  <c r="K39" i="11"/>
  <c r="A39" i="11"/>
  <c r="Q38" i="11"/>
  <c r="P38" i="11"/>
  <c r="O38" i="11"/>
  <c r="M38" i="11"/>
  <c r="K38" i="11"/>
  <c r="A38" i="11"/>
  <c r="Q37" i="11"/>
  <c r="O37" i="11" s="1"/>
  <c r="P37" i="11"/>
  <c r="K37" i="11"/>
  <c r="A37" i="11"/>
  <c r="Q36" i="11"/>
  <c r="P36" i="11"/>
  <c r="O36" i="11"/>
  <c r="M36" i="11"/>
  <c r="K36" i="11"/>
  <c r="A36" i="11"/>
  <c r="Q35" i="11"/>
  <c r="O35" i="11" s="1"/>
  <c r="P35" i="11"/>
  <c r="K35" i="11"/>
  <c r="A35" i="11"/>
  <c r="Q34" i="11"/>
  <c r="P34" i="11"/>
  <c r="O34" i="11"/>
  <c r="M34" i="11"/>
  <c r="K34" i="11"/>
  <c r="A34" i="11"/>
  <c r="Q33" i="11"/>
  <c r="O33" i="11" s="1"/>
  <c r="P33" i="11"/>
  <c r="K33" i="11"/>
  <c r="A33" i="11"/>
  <c r="Q32" i="11"/>
  <c r="P32" i="11"/>
  <c r="O32" i="11"/>
  <c r="M32" i="11"/>
  <c r="K32" i="11"/>
  <c r="A32" i="11"/>
  <c r="Q31" i="11"/>
  <c r="O31" i="11" s="1"/>
  <c r="P31" i="11"/>
  <c r="K31" i="11"/>
  <c r="A31" i="11"/>
  <c r="Q30" i="11"/>
  <c r="P30" i="11"/>
  <c r="O30" i="11"/>
  <c r="M30" i="11"/>
  <c r="K30" i="11"/>
  <c r="A30" i="11"/>
  <c r="Q29" i="11"/>
  <c r="O29" i="11" s="1"/>
  <c r="P29" i="11"/>
  <c r="K29" i="11"/>
  <c r="A29" i="11"/>
  <c r="Q28" i="11"/>
  <c r="P28" i="11"/>
  <c r="O28" i="11"/>
  <c r="M28" i="11"/>
  <c r="K28" i="11"/>
  <c r="A28" i="11"/>
  <c r="Q27" i="11"/>
  <c r="O27" i="11" s="1"/>
  <c r="P27" i="11"/>
  <c r="K27" i="11"/>
  <c r="A27" i="11"/>
  <c r="Q26" i="11"/>
  <c r="P26" i="11"/>
  <c r="P43" i="11" s="1"/>
  <c r="O26" i="11"/>
  <c r="O43" i="11" s="1"/>
  <c r="M26" i="11"/>
  <c r="K26" i="11"/>
  <c r="K43" i="11" s="1"/>
  <c r="A26" i="11"/>
  <c r="M25" i="11"/>
  <c r="K25" i="11"/>
  <c r="J25" i="11"/>
  <c r="I25" i="11"/>
  <c r="F25" i="11"/>
  <c r="E25" i="11"/>
  <c r="Q23" i="11"/>
  <c r="P23" i="11" s="1"/>
  <c r="O23" i="11"/>
  <c r="L23" i="11"/>
  <c r="A23" i="11"/>
  <c r="Q22" i="11"/>
  <c r="P22" i="11"/>
  <c r="O22" i="11"/>
  <c r="L22" i="11"/>
  <c r="A22" i="11"/>
  <c r="Q21" i="11"/>
  <c r="P21" i="11" s="1"/>
  <c r="O21" i="11"/>
  <c r="L21" i="11"/>
  <c r="A21" i="11"/>
  <c r="Q20" i="11"/>
  <c r="P20" i="11" s="1"/>
  <c r="O20" i="11"/>
  <c r="L20" i="11"/>
  <c r="A20" i="11"/>
  <c r="Q19" i="11"/>
  <c r="P19" i="11" s="1"/>
  <c r="O19" i="11"/>
  <c r="L19" i="11"/>
  <c r="A19" i="11"/>
  <c r="Q18" i="11"/>
  <c r="P18" i="11"/>
  <c r="O18" i="11"/>
  <c r="O25" i="11" s="1"/>
  <c r="L18" i="11"/>
  <c r="A18" i="11"/>
  <c r="Q17" i="11"/>
  <c r="P17" i="11" s="1"/>
  <c r="O17" i="11"/>
  <c r="L17" i="11"/>
  <c r="A17" i="11"/>
  <c r="Q16" i="11"/>
  <c r="P16" i="11" s="1"/>
  <c r="P25" i="11" s="1"/>
  <c r="O16" i="11"/>
  <c r="L16" i="11"/>
  <c r="L25" i="11" s="1"/>
  <c r="A16" i="11"/>
  <c r="N15" i="11"/>
  <c r="J15" i="11"/>
  <c r="F15" i="11"/>
  <c r="Q13" i="11"/>
  <c r="O13" i="11" s="1"/>
  <c r="P13" i="11"/>
  <c r="L13" i="11"/>
  <c r="A13" i="11"/>
  <c r="Q12" i="11"/>
  <c r="P12" i="11"/>
  <c r="O12" i="11"/>
  <c r="L12" i="11"/>
  <c r="L15" i="11" s="1"/>
  <c r="A12" i="11"/>
  <c r="Q11" i="11"/>
  <c r="P11" i="11"/>
  <c r="O11" i="11"/>
  <c r="L11" i="11"/>
  <c r="A11" i="11"/>
  <c r="Q10" i="11"/>
  <c r="O10" i="11" s="1"/>
  <c r="P10" i="11"/>
  <c r="P15" i="11" s="1"/>
  <c r="L10" i="11"/>
  <c r="A10" i="11"/>
  <c r="N9" i="11"/>
  <c r="J9" i="11"/>
  <c r="G9" i="11"/>
  <c r="G15" i="11" s="1"/>
  <c r="G25" i="11" s="1"/>
  <c r="F9" i="11"/>
  <c r="Q7" i="11"/>
  <c r="P7" i="11" s="1"/>
  <c r="O7" i="11"/>
  <c r="L7" i="11"/>
  <c r="A7" i="11"/>
  <c r="Q6" i="11"/>
  <c r="P6" i="11" s="1"/>
  <c r="O6" i="11"/>
  <c r="L6" i="11"/>
  <c r="L9" i="11" s="1"/>
  <c r="A6" i="11"/>
  <c r="Q5" i="11"/>
  <c r="P5" i="11" s="1"/>
  <c r="O5" i="11"/>
  <c r="L5" i="11"/>
  <c r="A5" i="11"/>
  <c r="Q4" i="11"/>
  <c r="P4" i="11"/>
  <c r="P9" i="11" s="1"/>
  <c r="O4" i="11"/>
  <c r="L4" i="11"/>
  <c r="A4" i="11"/>
  <c r="N43" i="10"/>
  <c r="L43" i="10"/>
  <c r="J43" i="10"/>
  <c r="I43" i="10"/>
  <c r="G43" i="10"/>
  <c r="F43" i="10"/>
  <c r="E43" i="10"/>
  <c r="Q40" i="10"/>
  <c r="P40" i="10"/>
  <c r="O40" i="10"/>
  <c r="M40" i="10"/>
  <c r="L40" i="10"/>
  <c r="K40" i="10"/>
  <c r="A40" i="10"/>
  <c r="Q39" i="10"/>
  <c r="P39" i="10"/>
  <c r="O39" i="10"/>
  <c r="M39" i="10"/>
  <c r="K39" i="10"/>
  <c r="A39" i="10"/>
  <c r="Q38" i="10"/>
  <c r="O38" i="10" s="1"/>
  <c r="P38" i="10"/>
  <c r="K38" i="10"/>
  <c r="A38" i="10"/>
  <c r="Q37" i="10"/>
  <c r="P37" i="10"/>
  <c r="O37" i="10"/>
  <c r="M37" i="10"/>
  <c r="K37" i="10"/>
  <c r="A37" i="10"/>
  <c r="Q36" i="10"/>
  <c r="O36" i="10" s="1"/>
  <c r="P36" i="10"/>
  <c r="K36" i="10"/>
  <c r="A36" i="10"/>
  <c r="Q35" i="10"/>
  <c r="P35" i="10"/>
  <c r="O35" i="10"/>
  <c r="M35" i="10"/>
  <c r="K35" i="10"/>
  <c r="A35" i="10"/>
  <c r="Q34" i="10"/>
  <c r="O34" i="10" s="1"/>
  <c r="P34" i="10"/>
  <c r="K34" i="10"/>
  <c r="A34" i="10"/>
  <c r="Q33" i="10"/>
  <c r="P33" i="10"/>
  <c r="O33" i="10"/>
  <c r="M33" i="10"/>
  <c r="K33" i="10"/>
  <c r="A33" i="10"/>
  <c r="Q32" i="10"/>
  <c r="O32" i="10" s="1"/>
  <c r="P32" i="10"/>
  <c r="K32" i="10"/>
  <c r="A32" i="10"/>
  <c r="Q31" i="10"/>
  <c r="P31" i="10"/>
  <c r="O31" i="10"/>
  <c r="M31" i="10"/>
  <c r="K31" i="10"/>
  <c r="A31" i="10"/>
  <c r="Q30" i="10"/>
  <c r="O30" i="10" s="1"/>
  <c r="P30" i="10"/>
  <c r="K30" i="10"/>
  <c r="A30" i="10"/>
  <c r="Q29" i="10"/>
  <c r="P29" i="10"/>
  <c r="O29" i="10"/>
  <c r="M29" i="10"/>
  <c r="K29" i="10"/>
  <c r="A29" i="10"/>
  <c r="Q28" i="10"/>
  <c r="O28" i="10" s="1"/>
  <c r="P28" i="10"/>
  <c r="K28" i="10"/>
  <c r="A28" i="10"/>
  <c r="Q27" i="10"/>
  <c r="P27" i="10"/>
  <c r="O27" i="10"/>
  <c r="M27" i="10"/>
  <c r="K27" i="10"/>
  <c r="A27" i="10"/>
  <c r="Q26" i="10"/>
  <c r="O26" i="10" s="1"/>
  <c r="P26" i="10"/>
  <c r="P43" i="10" s="1"/>
  <c r="K26" i="10"/>
  <c r="K43" i="10" s="1"/>
  <c r="A26" i="10"/>
  <c r="M25" i="10"/>
  <c r="K25" i="10"/>
  <c r="J25" i="10"/>
  <c r="I25" i="10"/>
  <c r="F25" i="10"/>
  <c r="E25" i="10"/>
  <c r="Q23" i="10"/>
  <c r="P23" i="10" s="1"/>
  <c r="O23" i="10"/>
  <c r="L23" i="10"/>
  <c r="A23" i="10"/>
  <c r="Q22" i="10"/>
  <c r="P22" i="10" s="1"/>
  <c r="O22" i="10"/>
  <c r="L22" i="10"/>
  <c r="A22" i="10"/>
  <c r="Q21" i="10"/>
  <c r="P21" i="10" s="1"/>
  <c r="O21" i="10"/>
  <c r="L21" i="10"/>
  <c r="A21" i="10"/>
  <c r="Q20" i="10"/>
  <c r="P20" i="10"/>
  <c r="O20" i="10"/>
  <c r="L20" i="10"/>
  <c r="A20" i="10"/>
  <c r="Q19" i="10"/>
  <c r="P19" i="10" s="1"/>
  <c r="O19" i="10"/>
  <c r="L19" i="10"/>
  <c r="A19" i="10"/>
  <c r="Q18" i="10"/>
  <c r="P18" i="10" s="1"/>
  <c r="O18" i="10"/>
  <c r="L18" i="10"/>
  <c r="A18" i="10"/>
  <c r="Q17" i="10"/>
  <c r="P17" i="10" s="1"/>
  <c r="O17" i="10"/>
  <c r="L17" i="10"/>
  <c r="L25" i="10" s="1"/>
  <c r="A17" i="10"/>
  <c r="Q16" i="10"/>
  <c r="P16" i="10"/>
  <c r="O16" i="10"/>
  <c r="O25" i="10" s="1"/>
  <c r="L16" i="10"/>
  <c r="A16" i="10"/>
  <c r="J15" i="10"/>
  <c r="F15" i="10"/>
  <c r="Q13" i="10"/>
  <c r="P13" i="10"/>
  <c r="P15" i="10" s="1"/>
  <c r="O13" i="10"/>
  <c r="L13" i="10"/>
  <c r="A13" i="10"/>
  <c r="Q12" i="10"/>
  <c r="O12" i="10" s="1"/>
  <c r="P12" i="10"/>
  <c r="L12" i="10"/>
  <c r="A12" i="10"/>
  <c r="Q11" i="10"/>
  <c r="O11" i="10" s="1"/>
  <c r="P11" i="10"/>
  <c r="L11" i="10"/>
  <c r="A11" i="10"/>
  <c r="Q10" i="10"/>
  <c r="P10" i="10"/>
  <c r="O10" i="10"/>
  <c r="O15" i="10" s="1"/>
  <c r="L10" i="10"/>
  <c r="L15" i="10" s="1"/>
  <c r="A10" i="10"/>
  <c r="N9" i="10"/>
  <c r="N15" i="10" s="1"/>
  <c r="J9" i="10"/>
  <c r="G9" i="10"/>
  <c r="G15" i="10" s="1"/>
  <c r="G25" i="10" s="1"/>
  <c r="F9" i="10"/>
  <c r="Q7" i="10"/>
  <c r="P7" i="10" s="1"/>
  <c r="O7" i="10"/>
  <c r="O9" i="10" s="1"/>
  <c r="L7" i="10"/>
  <c r="A7" i="10"/>
  <c r="Q6" i="10"/>
  <c r="P6" i="10"/>
  <c r="O6" i="10"/>
  <c r="L6" i="10"/>
  <c r="A6" i="10"/>
  <c r="Q5" i="10"/>
  <c r="P5" i="10" s="1"/>
  <c r="O5" i="10"/>
  <c r="L5" i="10"/>
  <c r="A5" i="10"/>
  <c r="Q4" i="10"/>
  <c r="P4" i="10" s="1"/>
  <c r="P9" i="10" s="1"/>
  <c r="O4" i="10"/>
  <c r="L4" i="10"/>
  <c r="L9" i="10" s="1"/>
  <c r="A4" i="10"/>
  <c r="N44" i="9"/>
  <c r="J44" i="9"/>
  <c r="I44" i="9"/>
  <c r="G44" i="9"/>
  <c r="F44" i="9"/>
  <c r="E44" i="9"/>
  <c r="Q41" i="9"/>
  <c r="O41" i="9" s="1"/>
  <c r="P41" i="9"/>
  <c r="M41" i="9"/>
  <c r="L41" i="9"/>
  <c r="L44" i="9" s="1"/>
  <c r="K41" i="9"/>
  <c r="A41" i="9"/>
  <c r="Q40" i="9"/>
  <c r="O40" i="9" s="1"/>
  <c r="P40" i="9"/>
  <c r="K40" i="9"/>
  <c r="A40" i="9"/>
  <c r="Q39" i="9"/>
  <c r="P39" i="9"/>
  <c r="O39" i="9"/>
  <c r="M39" i="9"/>
  <c r="K39" i="9"/>
  <c r="A39" i="9"/>
  <c r="Q38" i="9"/>
  <c r="O38" i="9" s="1"/>
  <c r="P38" i="9"/>
  <c r="K38" i="9"/>
  <c r="A38" i="9"/>
  <c r="Q37" i="9"/>
  <c r="P37" i="9"/>
  <c r="O37" i="9"/>
  <c r="M37" i="9"/>
  <c r="K37" i="9"/>
  <c r="A37" i="9"/>
  <c r="Q36" i="9"/>
  <c r="O36" i="9" s="1"/>
  <c r="P36" i="9"/>
  <c r="K36" i="9"/>
  <c r="A36" i="9"/>
  <c r="Q35" i="9"/>
  <c r="P35" i="9"/>
  <c r="O35" i="9"/>
  <c r="M35" i="9"/>
  <c r="K35" i="9"/>
  <c r="A35" i="9"/>
  <c r="Q34" i="9"/>
  <c r="O34" i="9" s="1"/>
  <c r="P34" i="9"/>
  <c r="K34" i="9"/>
  <c r="A34" i="9"/>
  <c r="Q33" i="9"/>
  <c r="P33" i="9"/>
  <c r="O33" i="9"/>
  <c r="M33" i="9"/>
  <c r="K33" i="9"/>
  <c r="A33" i="9"/>
  <c r="Q32" i="9"/>
  <c r="O32" i="9" s="1"/>
  <c r="P32" i="9"/>
  <c r="K32" i="9"/>
  <c r="A32" i="9"/>
  <c r="Q31" i="9"/>
  <c r="P31" i="9"/>
  <c r="O31" i="9"/>
  <c r="M31" i="9"/>
  <c r="K31" i="9"/>
  <c r="A31" i="9"/>
  <c r="Q30" i="9"/>
  <c r="O30" i="9" s="1"/>
  <c r="P30" i="9"/>
  <c r="K30" i="9"/>
  <c r="A30" i="9"/>
  <c r="Q29" i="9"/>
  <c r="P29" i="9"/>
  <c r="O29" i="9"/>
  <c r="M29" i="9"/>
  <c r="K29" i="9"/>
  <c r="A29" i="9"/>
  <c r="Q28" i="9"/>
  <c r="O28" i="9" s="1"/>
  <c r="P28" i="9"/>
  <c r="K28" i="9"/>
  <c r="A28" i="9"/>
  <c r="Q27" i="9"/>
  <c r="P27" i="9"/>
  <c r="P44" i="9" s="1"/>
  <c r="O27" i="9"/>
  <c r="M27" i="9"/>
  <c r="K27" i="9"/>
  <c r="K44" i="9" s="1"/>
  <c r="A27" i="9"/>
  <c r="M26" i="9"/>
  <c r="K26" i="9"/>
  <c r="J26" i="9"/>
  <c r="I26" i="9"/>
  <c r="F26" i="9"/>
  <c r="E26" i="9"/>
  <c r="Q24" i="9"/>
  <c r="P24" i="9" s="1"/>
  <c r="O24" i="9"/>
  <c r="L24" i="9"/>
  <c r="A24" i="9"/>
  <c r="Q23" i="9"/>
  <c r="P23" i="9"/>
  <c r="O23" i="9"/>
  <c r="L23" i="9"/>
  <c r="A23" i="9"/>
  <c r="Q22" i="9"/>
  <c r="P22" i="9" s="1"/>
  <c r="O22" i="9"/>
  <c r="L22" i="9"/>
  <c r="A22" i="9"/>
  <c r="Q21" i="9"/>
  <c r="P21" i="9" s="1"/>
  <c r="O21" i="9"/>
  <c r="L21" i="9"/>
  <c r="A21" i="9"/>
  <c r="Q20" i="9"/>
  <c r="P20" i="9" s="1"/>
  <c r="O20" i="9"/>
  <c r="L20" i="9"/>
  <c r="A20" i="9"/>
  <c r="Q19" i="9"/>
  <c r="P19" i="9"/>
  <c r="O19" i="9"/>
  <c r="O26" i="9" s="1"/>
  <c r="L19" i="9"/>
  <c r="A19" i="9"/>
  <c r="Q18" i="9"/>
  <c r="P18" i="9" s="1"/>
  <c r="O18" i="9"/>
  <c r="L18" i="9"/>
  <c r="A18" i="9"/>
  <c r="Q17" i="9"/>
  <c r="P17" i="9" s="1"/>
  <c r="O17" i="9"/>
  <c r="L17" i="9"/>
  <c r="L26" i="9" s="1"/>
  <c r="A17" i="9"/>
  <c r="J16" i="9"/>
  <c r="F16" i="9"/>
  <c r="Q14" i="9"/>
  <c r="O14" i="9" s="1"/>
  <c r="P14" i="9"/>
  <c r="L14" i="9"/>
  <c r="A14" i="9"/>
  <c r="Q13" i="9"/>
  <c r="P13" i="9"/>
  <c r="O13" i="9"/>
  <c r="L13" i="9"/>
  <c r="A13" i="9"/>
  <c r="Q12" i="9"/>
  <c r="P12" i="9"/>
  <c r="O12" i="9"/>
  <c r="L12" i="9"/>
  <c r="A12" i="9"/>
  <c r="Q11" i="9"/>
  <c r="O11" i="9" s="1"/>
  <c r="P11" i="9"/>
  <c r="L11" i="9"/>
  <c r="A11" i="9"/>
  <c r="Q10" i="9"/>
  <c r="O10" i="9" s="1"/>
  <c r="P10" i="9"/>
  <c r="P16" i="9" s="1"/>
  <c r="L10" i="9"/>
  <c r="L16" i="9" s="1"/>
  <c r="A10" i="9"/>
  <c r="N9" i="9"/>
  <c r="N16" i="9" s="1"/>
  <c r="J9" i="9"/>
  <c r="G9" i="9"/>
  <c r="G16" i="9" s="1"/>
  <c r="G26" i="9" s="1"/>
  <c r="F9" i="9"/>
  <c r="Q7" i="9"/>
  <c r="P7" i="9" s="1"/>
  <c r="O7" i="9"/>
  <c r="L7" i="9"/>
  <c r="A7" i="9"/>
  <c r="Q6" i="9"/>
  <c r="P6" i="9" s="1"/>
  <c r="O6" i="9"/>
  <c r="L6" i="9"/>
  <c r="L9" i="9" s="1"/>
  <c r="A6" i="9"/>
  <c r="Q5" i="9"/>
  <c r="P5" i="9"/>
  <c r="O5" i="9"/>
  <c r="L5" i="9"/>
  <c r="A5" i="9"/>
  <c r="Q4" i="9"/>
  <c r="P4" i="9" s="1"/>
  <c r="O4" i="9"/>
  <c r="O9" i="9" s="1"/>
  <c r="L4" i="9"/>
  <c r="A4" i="9"/>
  <c r="O9" i="11" l="1"/>
  <c r="L10" i="12"/>
  <c r="L11" i="12"/>
  <c r="L21" i="12" s="1"/>
  <c r="F21" i="12"/>
  <c r="G21" i="12"/>
  <c r="O9" i="12"/>
  <c r="L9" i="12"/>
  <c r="P9" i="12"/>
  <c r="O21" i="12"/>
  <c r="P39" i="12"/>
  <c r="P21" i="12"/>
  <c r="P9" i="9"/>
  <c r="P25" i="10"/>
  <c r="O43" i="10"/>
  <c r="O16" i="9"/>
  <c r="P26" i="9"/>
  <c r="O44" i="9"/>
  <c r="O15" i="11"/>
  <c r="M40" i="11"/>
  <c r="M28" i="9"/>
  <c r="M30" i="9"/>
  <c r="M32" i="9"/>
  <c r="M44" i="9" s="1"/>
  <c r="M34" i="9"/>
  <c r="M36" i="9"/>
  <c r="M38" i="9"/>
  <c r="M40" i="9"/>
  <c r="M26" i="10"/>
  <c r="M28" i="10"/>
  <c r="M30" i="10"/>
  <c r="M32" i="10"/>
  <c r="M34" i="10"/>
  <c r="M36" i="10"/>
  <c r="M38" i="10"/>
  <c r="M27" i="11"/>
  <c r="M43" i="11" s="1"/>
  <c r="M29" i="11"/>
  <c r="M31" i="11"/>
  <c r="M33" i="11"/>
  <c r="M35" i="11"/>
  <c r="M37" i="11"/>
  <c r="M39" i="11"/>
  <c r="O39" i="12" l="1"/>
  <c r="M39" i="12"/>
  <c r="M43" i="10"/>
  <c r="B60" i="5" l="1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 l="1"/>
  <c r="R25" i="5" s="1"/>
  <c r="R157" i="5" l="1"/>
  <c r="R4" i="5"/>
  <c r="A4" i="5" l="1"/>
  <c r="E17" i="2" s="1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F13" i="2" l="1"/>
  <c r="C24" i="7"/>
  <c r="C6" i="6"/>
  <c r="O23" i="7"/>
  <c r="C13" i="7"/>
  <c r="L17" i="7"/>
  <c r="L15" i="7"/>
  <c r="H11" i="7"/>
  <c r="L19" i="7"/>
  <c r="C9" i="7"/>
  <c r="C7" i="7"/>
  <c r="H16" i="4"/>
  <c r="F12" i="4"/>
  <c r="N13" i="4"/>
  <c r="H13" i="4"/>
  <c r="E13" i="4"/>
  <c r="F8" i="2"/>
  <c r="I13" i="4"/>
  <c r="E14" i="4"/>
  <c r="E8" i="4"/>
  <c r="J13" i="4"/>
  <c r="C21" i="7"/>
  <c r="C8" i="6" l="1"/>
  <c r="H10" i="6"/>
  <c r="C18" i="6"/>
  <c r="F11" i="2"/>
  <c r="C14" i="6"/>
  <c r="E16" i="2"/>
  <c r="C12" i="6"/>
  <c r="C23" i="6"/>
  <c r="C16" i="6"/>
  <c r="N22" i="6"/>
  <c r="A1" i="6"/>
  <c r="O22" i="6"/>
  <c r="C20" i="6"/>
  <c r="B5" i="5" l="1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5" i="5"/>
  <c r="B156" i="5"/>
  <c r="B4" i="5"/>
  <c r="A1" i="2"/>
  <c r="K8" i="2"/>
  <c r="L8" i="2"/>
  <c r="E7" i="2"/>
  <c r="F9" i="4"/>
  <c r="F9" i="2"/>
</calcChain>
</file>

<file path=xl/comments1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3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4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sharedStrings.xml><?xml version="1.0" encoding="utf-8"?>
<sst xmlns="http://schemas.openxmlformats.org/spreadsheetml/2006/main" count="1798" uniqueCount="448">
  <si>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</si>
  <si>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</si>
  <si>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</si>
  <si>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</si>
  <si>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</si>
  <si>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</si>
  <si>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</si>
  <si>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</si>
  <si>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</si>
  <si>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</si>
  <si>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</si>
  <si>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</si>
  <si>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</si>
  <si>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</si>
  <si>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</si>
  <si>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</si>
  <si>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</si>
  <si>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</si>
  <si>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</si>
  <si>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</si>
  <si>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</si>
  <si>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</si>
  <si>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</si>
  <si>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</si>
  <si>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</si>
  <si>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</si>
  <si>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</si>
  <si>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</si>
  <si>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</si>
  <si>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</si>
  <si>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</si>
  <si>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</si>
  <si>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</si>
  <si>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</si>
  <si>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</si>
  <si>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</si>
  <si>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</si>
  <si>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</si>
  <si>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</si>
  <si>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</si>
  <si>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</si>
  <si>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</si>
  <si>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</si>
  <si>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</si>
  <si>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</si>
  <si>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</si>
  <si>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</si>
  <si>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</si>
  <si>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</si>
  <si>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</si>
  <si>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</si>
  <si>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</si>
  <si>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</si>
  <si>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</si>
  <si>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</si>
  <si>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</si>
  <si>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</si>
  <si>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</si>
  <si>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</si>
  <si>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</si>
  <si>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</si>
  <si>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</si>
  <si>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</si>
  <si>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</si>
  <si>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</si>
  <si>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</si>
  <si>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</si>
  <si>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</si>
  <si>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</si>
  <si>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</si>
  <si>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</si>
  <si>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</si>
  <si>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</si>
  <si>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</si>
  <si>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</si>
  <si>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</si>
  <si>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</si>
  <si>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</si>
  <si>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</si>
  <si>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</si>
  <si>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</si>
  <si>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</si>
  <si>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</si>
  <si>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</si>
  <si>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</si>
  <si>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</si>
  <si>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</si>
  <si>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</si>
  <si>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</si>
  <si>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</si>
  <si>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</si>
  <si>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</si>
  <si>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</si>
  <si>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</si>
  <si>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</si>
  <si>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</si>
  <si>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</si>
  <si>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</si>
  <si>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</si>
  <si>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</si>
  <si>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</si>
  <si>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</si>
  <si>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</si>
  <si>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</si>
  <si>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</si>
  <si>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</si>
  <si>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</si>
  <si>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</si>
  <si>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</si>
  <si>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</si>
  <si>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</si>
  <si>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</si>
  <si>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</si>
  <si>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</si>
  <si>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</si>
  <si>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</si>
  <si>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</si>
  <si>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</si>
  <si>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</si>
  <si>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</si>
  <si>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</si>
  <si>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</si>
  <si>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</si>
  <si>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</si>
  <si>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</si>
  <si>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</si>
  <si>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</si>
  <si>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</si>
  <si>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</si>
  <si>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</si>
  <si>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</si>
  <si>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</si>
  <si>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</si>
  <si>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</si>
  <si>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</si>
  <si>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</si>
  <si>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</si>
  <si>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</si>
  <si>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</si>
  <si>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</si>
  <si>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</si>
  <si>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</si>
  <si>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</si>
  <si>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</si>
  <si>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</si>
  <si>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</si>
  <si>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</si>
  <si>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</si>
  <si>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</si>
  <si>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</si>
  <si>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</si>
  <si>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</si>
  <si>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</si>
  <si>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</si>
  <si>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</si>
  <si>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</si>
  <si>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</si>
  <si>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</si>
  <si>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</si>
  <si>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</si>
  <si>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</si>
  <si>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</si>
  <si>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</si>
  <si>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</si>
  <si>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</si>
  <si>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</si>
  <si>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</si>
  <si>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</si>
  <si>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</si>
  <si>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</si>
  <si>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</si>
  <si>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</si>
  <si>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</si>
  <si>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</si>
  <si>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</si>
  <si>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</si>
  <si>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</si>
  <si>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</si>
  <si>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</si>
  <si>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</si>
  <si>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</si>
  <si>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</si>
  <si>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</si>
  <si>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</si>
  <si>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</si>
  <si>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</si>
  <si>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</si>
  <si>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</si>
  <si>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</si>
  <si>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</si>
  <si>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</si>
  <si>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</si>
  <si>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</si>
  <si>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</si>
  <si>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</si>
  <si>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</si>
  <si>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</si>
  <si>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</si>
  <si>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</si>
  <si>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</si>
  <si>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</si>
  <si>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</si>
  <si>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</si>
  <si>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</si>
  <si>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</si>
  <si>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</si>
  <si>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</si>
  <si>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</si>
  <si>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</si>
  <si>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</si>
  <si>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</si>
  <si>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</si>
  <si>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</si>
  <si>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</si>
  <si>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</si>
  <si>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</si>
  <si>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</si>
  <si>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</si>
  <si>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</si>
  <si>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</si>
  <si>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</si>
  <si>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</si>
  <si>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</si>
  <si>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</si>
  <si>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</si>
  <si>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</si>
  <si>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</si>
  <si>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</si>
  <si>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</si>
  <si>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</si>
  <si>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</si>
  <si>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</si>
  <si>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</si>
  <si>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</si>
  <si>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</si>
  <si>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</si>
  <si>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</si>
  <si>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</si>
  <si>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</si>
  <si>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</si>
  <si>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</si>
  <si>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</si>
  <si>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</si>
  <si>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</si>
  <si>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</si>
  <si>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</si>
  <si>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</si>
  <si>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</si>
  <si>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</si>
  <si>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</si>
  <si>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</si>
  <si>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</si>
  <si>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</si>
  <si>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</si>
  <si>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</si>
  <si>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</si>
  <si>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</si>
  <si>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</si>
  <si>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</si>
  <si>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</si>
  <si>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</si>
  <si>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</si>
  <si>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</si>
  <si>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</si>
  <si>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</si>
  <si>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</si>
  <si>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</si>
  <si>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</si>
  <si>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</si>
  <si>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</si>
  <si>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</si>
  <si>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</si>
  <si>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</si>
  <si>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</si>
  <si>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</si>
  <si>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</si>
  <si>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VND tuong duong</t>
  </si>
  <si>
    <t>Ngày trả</t>
  </si>
  <si>
    <t>USD Q11</t>
  </si>
  <si>
    <t>VND Q4</t>
  </si>
  <si>
    <t>VND Q11</t>
  </si>
  <si>
    <t>USD Q4</t>
  </si>
  <si>
    <t>Ngaøy tính laõi</t>
  </si>
  <si>
    <t>1015LDS201000102</t>
  </si>
  <si>
    <t xml:space="preserve"> nhà xưởng LA </t>
  </si>
  <si>
    <t>1015LDS201100376</t>
  </si>
  <si>
    <t>1015LDS201100377</t>
  </si>
  <si>
    <t>1015LDS201100378</t>
  </si>
  <si>
    <t>TC: Q11 - LA</t>
  </si>
  <si>
    <t>1402LDS201503829</t>
  </si>
  <si>
    <t>LA</t>
  </si>
  <si>
    <t>1402LDS201503901</t>
  </si>
  <si>
    <t>1402LDS201503946</t>
  </si>
  <si>
    <t>1402LDS201504121</t>
  </si>
  <si>
    <t>1402LDS201600285</t>
  </si>
  <si>
    <t>3C 01</t>
  </si>
  <si>
    <t>TC: Q4 - LA</t>
  </si>
  <si>
    <t>1015LDS201502514</t>
  </si>
  <si>
    <t>3C 03</t>
  </si>
  <si>
    <t>1015LDS201502531</t>
  </si>
  <si>
    <t>1015LDS201503102</t>
  </si>
  <si>
    <t>1015LDS201503206</t>
  </si>
  <si>
    <t>1015LDS201503420</t>
  </si>
  <si>
    <t>3C 04</t>
  </si>
  <si>
    <t>1015LDS201600190</t>
  </si>
  <si>
    <t>ATB04</t>
  </si>
  <si>
    <t>1015LDS201600429</t>
  </si>
  <si>
    <t>ATB03</t>
  </si>
  <si>
    <t>1015LDS201600434</t>
  </si>
  <si>
    <t>3C 02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</si>
  <si>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</si>
  <si>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</si>
  <si>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</si>
  <si>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</si>
  <si>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</si>
  <si>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</si>
  <si>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</si>
  <si>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</si>
  <si>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</si>
  <si>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</si>
  <si>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</si>
  <si>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</si>
  <si>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</si>
  <si>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</si>
  <si>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</si>
  <si>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1402LDS201504108</t>
  </si>
  <si>
    <t>TC: Q4 - TV</t>
  </si>
  <si>
    <t>1402LDS201601151</t>
  </si>
  <si>
    <t>1402LDS201601148</t>
  </si>
  <si>
    <t>1402 148 5100 9479</t>
  </si>
  <si>
    <t>Tỷ giá</t>
  </si>
  <si>
    <t>1025 000021 6179</t>
  </si>
  <si>
    <t>1025 000021 6234</t>
  </si>
  <si>
    <t>1025 000021 6241</t>
  </si>
  <si>
    <t>1025 000021 6258</t>
  </si>
  <si>
    <t>1025 000021 6265</t>
  </si>
  <si>
    <t>1025 037000 1447</t>
  </si>
  <si>
    <t>1025 037000 1454</t>
  </si>
  <si>
    <t>1025 037000 1485</t>
  </si>
  <si>
    <t>1025 037000 1526</t>
  </si>
  <si>
    <t>PB16010048099 - Thanh toán tiền điện kỳ 2 tháng 08 năm 2016</t>
  </si>
  <si>
    <t>1402LDS201601563</t>
  </si>
  <si>
    <t>1402LDS201601331</t>
  </si>
  <si>
    <t>TC: PVcombank - LA</t>
  </si>
  <si>
    <t>1402LDS201601247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</si>
  <si>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</si>
  <si>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</si>
  <si>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</si>
  <si>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</si>
  <si>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</si>
  <si>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</si>
  <si>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</si>
  <si>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</si>
  <si>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</si>
  <si>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</si>
  <si>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</si>
  <si>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</si>
  <si>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</si>
  <si>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</si>
  <si>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</si>
  <si>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</si>
  <si>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</si>
  <si>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</si>
  <si>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</si>
  <si>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</si>
  <si>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</si>
  <si>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</si>
  <si>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</si>
  <si>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</si>
  <si>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</si>
  <si>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</si>
  <si>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</si>
  <si>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</si>
  <si>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</si>
  <si>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</si>
  <si>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</si>
  <si>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</si>
  <si>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</si>
  <si>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</si>
  <si>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</si>
  <si>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</si>
  <si>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</si>
  <si>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</si>
  <si>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</si>
  <si>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</si>
  <si>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</si>
  <si>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</si>
  <si>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</si>
  <si>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</si>
  <si>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</si>
  <si>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</si>
  <si>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</si>
  <si>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</si>
  <si>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</si>
  <si>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</si>
  <si>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</si>
  <si>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</si>
  <si>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</si>
  <si>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</si>
  <si>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</si>
  <si>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</si>
  <si>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</si>
  <si>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</si>
  <si>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</si>
  <si>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</si>
  <si>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</si>
  <si>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</si>
  <si>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</si>
  <si>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</si>
  <si>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</si>
  <si>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</si>
  <si>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</si>
  <si>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</si>
  <si>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</si>
  <si>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</si>
  <si>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</si>
  <si>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</si>
  <si>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1025 037000 1791</t>
  </si>
  <si>
    <t>1025 037000 1863</t>
  </si>
  <si>
    <t>ZhouHan</t>
  </si>
  <si>
    <t>Flak Vostok LCC</t>
  </si>
  <si>
    <t>Tokai</t>
  </si>
  <si>
    <t>LC- Say.D.S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</si>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</sst>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6" fillId="5" borderId="1"/>
    <xf numFmtId="43" fontId="53" fillId="0" borderId="0" applyFont="0" applyFill="0" applyBorder="0" applyAlignment="0" applyProtection="0"/>
    <xf numFmtId="43" fontId="5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6" fillId="5" borderId="1">
      <alignment horizontal="centerContinuous" vertical="center" wrapText="1"/>
    </xf>
    <xf numFmtId="3" fontId="56" fillId="5" borderId="1">
      <alignment horizontal="center" vertical="center" wrapText="1"/>
    </xf>
    <xf numFmtId="2" fontId="1" fillId="0" borderId="0" applyFont="0" applyFill="0" applyBorder="0" applyAlignment="0" applyProtection="0"/>
    <xf numFmtId="0" fontId="58" fillId="0" borderId="21" applyNumberFormat="0" applyAlignment="0" applyProtection="0">
      <alignment horizontal="left" vertical="center"/>
    </xf>
    <xf numFmtId="0" fontId="58" fillId="0" borderId="6">
      <alignment horizontal="left" vertical="center"/>
    </xf>
    <xf numFmtId="3" fontId="56" fillId="0" borderId="22"/>
    <xf numFmtId="3" fontId="59" fillId="0" borderId="23"/>
    <xf numFmtId="3" fontId="56" fillId="0" borderId="1">
      <alignment horizontal="center" vertical="center" wrapText="1"/>
    </xf>
    <xf numFmtId="3" fontId="56" fillId="0" borderId="1">
      <alignment horizontal="centerContinuous" vertical="center"/>
    </xf>
    <xf numFmtId="165" fontId="60" fillId="0" borderId="20"/>
    <xf numFmtId="0" fontId="53" fillId="0" borderId="0"/>
    <xf numFmtId="0" fontId="30" fillId="0" borderId="0"/>
    <xf numFmtId="0" fontId="61" fillId="0" borderId="0">
      <alignment horizontal="centerContinuous"/>
    </xf>
    <xf numFmtId="40" fontId="62" fillId="0" borderId="0" applyFont="0" applyFill="0" applyBorder="0" applyAlignment="0" applyProtection="0"/>
    <xf numFmtId="38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4" fillId="0" borderId="0" applyFont="0" applyFill="0" applyBorder="0" applyAlignment="0" applyProtection="0"/>
    <xf numFmtId="171" fontId="64" fillId="0" borderId="0" applyFont="0" applyFill="0" applyBorder="0" applyAlignment="0" applyProtection="0"/>
    <xf numFmtId="0" fontId="65" fillId="0" borderId="0"/>
  </cellStyleXfs>
  <cellXfs count="28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4" fillId="4" borderId="3" xfId="4" applyNumberFormat="1" applyFont="1" applyFill="1" applyBorder="1" applyAlignment="1">
      <alignment horizontal="center" vertical="center"/>
    </xf>
    <xf numFmtId="49" fontId="44" fillId="4" borderId="3" xfId="4" applyNumberFormat="1" applyFont="1" applyFill="1" applyBorder="1" applyAlignment="1">
      <alignment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164" fontId="44" fillId="4" borderId="3" xfId="4" applyNumberFormat="1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6" fillId="4" borderId="3" xfId="4" applyFont="1" applyFill="1" applyBorder="1" applyAlignment="1">
      <alignment vertical="center"/>
    </xf>
    <xf numFmtId="43" fontId="38" fillId="4" borderId="3" xfId="4" applyFont="1" applyFill="1" applyBorder="1" applyAlignment="1">
      <alignment vertical="center"/>
    </xf>
    <xf numFmtId="10" fontId="38" fillId="4" borderId="3" xfId="4" applyNumberFormat="1" applyFont="1" applyFill="1" applyBorder="1" applyAlignment="1">
      <alignment horizontal="center" vertical="center"/>
    </xf>
    <xf numFmtId="43" fontId="44" fillId="4" borderId="3" xfId="4" applyFont="1" applyFill="1" applyBorder="1" applyAlignment="1">
      <alignment horizontal="center" vertical="center"/>
    </xf>
    <xf numFmtId="43" fontId="44" fillId="4" borderId="0" xfId="4" applyFont="1" applyFill="1" applyBorder="1" applyAlignment="1">
      <alignment vertical="center"/>
    </xf>
    <xf numFmtId="0" fontId="44" fillId="4" borderId="2" xfId="4" applyNumberFormat="1" applyFont="1" applyFill="1" applyBorder="1" applyAlignment="1">
      <alignment horizontal="center"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7" fillId="4" borderId="2" xfId="4" applyFont="1" applyFill="1" applyBorder="1" applyAlignment="1">
      <alignment vertical="center"/>
    </xf>
    <xf numFmtId="43" fontId="46" fillId="4" borderId="2" xfId="4" applyFont="1" applyFill="1" applyBorder="1" applyAlignment="1">
      <alignment vertical="center"/>
    </xf>
    <xf numFmtId="43" fontId="38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0" fontId="44" fillId="4" borderId="18" xfId="4" applyNumberFormat="1" applyFont="1" applyFill="1" applyBorder="1" applyAlignment="1">
      <alignment horizontal="center" vertical="center"/>
    </xf>
    <xf numFmtId="49" fontId="44" fillId="4" borderId="18" xfId="4" applyNumberFormat="1" applyFont="1" applyFill="1" applyBorder="1" applyAlignment="1">
      <alignment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43" fontId="47" fillId="4" borderId="18" xfId="4" applyFont="1" applyFill="1" applyBorder="1" applyAlignment="1">
      <alignment vertical="center"/>
    </xf>
    <xf numFmtId="43" fontId="46" fillId="4" borderId="18" xfId="4" applyFont="1" applyFill="1" applyBorder="1" applyAlignment="1">
      <alignment vertical="center"/>
    </xf>
    <xf numFmtId="43" fontId="38" fillId="4" borderId="18" xfId="4" applyFont="1" applyFill="1" applyBorder="1" applyAlignment="1">
      <alignment vertical="center"/>
    </xf>
    <xf numFmtId="10" fontId="38" fillId="4" borderId="18" xfId="4" applyNumberFormat="1" applyFont="1" applyFill="1" applyBorder="1" applyAlignment="1">
      <alignment horizontal="center" vertical="center"/>
    </xf>
    <xf numFmtId="43" fontId="44" fillId="4" borderId="18" xfId="4" applyFont="1" applyFill="1" applyBorder="1" applyAlignment="1">
      <alignment horizontal="center" vertical="center"/>
    </xf>
    <xf numFmtId="14" fontId="49" fillId="4" borderId="1" xfId="3" applyNumberFormat="1" applyFont="1" applyFill="1" applyBorder="1" applyAlignment="1">
      <alignment horizontal="center" vertical="center" wrapText="1"/>
    </xf>
    <xf numFmtId="164" fontId="50" fillId="4" borderId="1" xfId="4" applyNumberFormat="1" applyFont="1" applyFill="1" applyBorder="1" applyAlignment="1">
      <alignment vertical="center"/>
    </xf>
    <xf numFmtId="43" fontId="50" fillId="4" borderId="1" xfId="4" applyFont="1" applyFill="1" applyBorder="1" applyAlignment="1">
      <alignment vertical="center"/>
    </xf>
    <xf numFmtId="10" fontId="51" fillId="4" borderId="1" xfId="4" applyNumberFormat="1" applyFont="1" applyFill="1" applyBorder="1" applyAlignment="1">
      <alignment horizontal="center" vertical="center"/>
    </xf>
    <xf numFmtId="43" fontId="50" fillId="4" borderId="1" xfId="4" applyFont="1" applyFill="1" applyBorder="1" applyAlignment="1">
      <alignment horizontal="center" vertical="center"/>
    </xf>
    <xf numFmtId="43" fontId="48" fillId="4" borderId="0" xfId="4" applyFont="1" applyFill="1" applyAlignment="1">
      <alignment vertical="center"/>
    </xf>
    <xf numFmtId="0" fontId="46" fillId="4" borderId="3" xfId="4" applyNumberFormat="1" applyFont="1" applyFill="1" applyBorder="1" applyAlignment="1">
      <alignment horizontal="center" vertical="center"/>
    </xf>
    <xf numFmtId="49" fontId="46" fillId="4" borderId="3" xfId="4" applyNumberFormat="1" applyFont="1" applyFill="1" applyBorder="1" applyAlignment="1">
      <alignment vertical="center"/>
    </xf>
    <xf numFmtId="14" fontId="46" fillId="4" borderId="3" xfId="3" applyNumberFormat="1" applyFont="1" applyFill="1" applyBorder="1" applyAlignment="1">
      <alignment horizontal="center" vertical="center" wrapText="1"/>
    </xf>
    <xf numFmtId="164" fontId="46" fillId="4" borderId="3" xfId="4" applyNumberFormat="1" applyFont="1" applyFill="1" applyBorder="1" applyAlignment="1">
      <alignment vertical="center"/>
    </xf>
    <xf numFmtId="10" fontId="46" fillId="4" borderId="3" xfId="4" applyNumberFormat="1" applyFont="1" applyFill="1" applyBorder="1" applyAlignment="1">
      <alignment horizontal="center" vertical="center"/>
    </xf>
    <xf numFmtId="43" fontId="46" fillId="4" borderId="3" xfId="4" applyFont="1" applyFill="1" applyBorder="1" applyAlignment="1">
      <alignment horizontal="center" vertical="center"/>
    </xf>
    <xf numFmtId="43" fontId="46" fillId="4" borderId="0" xfId="4" applyFont="1" applyFill="1" applyBorder="1" applyAlignment="1">
      <alignment vertical="center"/>
    </xf>
    <xf numFmtId="49" fontId="46" fillId="4" borderId="2" xfId="4" applyNumberFormat="1" applyFont="1" applyFill="1" applyBorder="1" applyAlignment="1">
      <alignment vertical="center"/>
    </xf>
    <xf numFmtId="14" fontId="46" fillId="4" borderId="2" xfId="3" applyNumberFormat="1" applyFont="1" applyFill="1" applyBorder="1" applyAlignment="1">
      <alignment horizontal="center" vertical="center" wrapText="1"/>
    </xf>
    <xf numFmtId="164" fontId="46" fillId="4" borderId="2" xfId="4" applyNumberFormat="1" applyFont="1" applyFill="1" applyBorder="1" applyAlignment="1">
      <alignment vertical="center"/>
    </xf>
    <xf numFmtId="10" fontId="46" fillId="4" borderId="2" xfId="4" applyNumberFormat="1" applyFont="1" applyFill="1" applyBorder="1" applyAlignment="1">
      <alignment horizontal="center" vertical="center"/>
    </xf>
    <xf numFmtId="43" fontId="46" fillId="4" borderId="2" xfId="4" applyFont="1" applyFill="1" applyBorder="1" applyAlignment="1">
      <alignment horizontal="center" vertical="center"/>
    </xf>
    <xf numFmtId="0" fontId="46" fillId="4" borderId="17" xfId="4" applyNumberFormat="1" applyFont="1" applyFill="1" applyBorder="1" applyAlignment="1">
      <alignment horizontal="center" vertical="center"/>
    </xf>
    <xf numFmtId="49" fontId="46" fillId="4" borderId="17" xfId="4" applyNumberFormat="1" applyFont="1" applyFill="1" applyBorder="1" applyAlignment="1">
      <alignment vertical="center"/>
    </xf>
    <xf numFmtId="14" fontId="46" fillId="4" borderId="17" xfId="3" applyNumberFormat="1" applyFont="1" applyFill="1" applyBorder="1" applyAlignment="1">
      <alignment horizontal="center" vertical="center" wrapText="1"/>
    </xf>
    <xf numFmtId="43" fontId="46" fillId="4" borderId="17" xfId="4" applyFont="1" applyFill="1" applyBorder="1" applyAlignment="1">
      <alignment vertical="center"/>
    </xf>
    <xf numFmtId="164" fontId="46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6" fillId="4" borderId="17" xfId="4" applyNumberFormat="1" applyFont="1" applyFill="1" applyBorder="1" applyAlignment="1">
      <alignment horizontal="center" vertical="center"/>
    </xf>
    <xf numFmtId="43" fontId="46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9" xfId="3" applyNumberFormat="1" applyFont="1" applyFill="1" applyBorder="1" applyAlignment="1">
      <alignment horizontal="center" vertical="center" wrapText="1"/>
    </xf>
    <xf numFmtId="43" fontId="44" fillId="4" borderId="19" xfId="4" applyFont="1" applyFill="1" applyBorder="1" applyAlignment="1">
      <alignment vertical="center"/>
    </xf>
    <xf numFmtId="164" fontId="44" fillId="4" borderId="19" xfId="4" applyNumberFormat="1" applyFont="1" applyFill="1" applyBorder="1" applyAlignment="1">
      <alignment vertical="center"/>
    </xf>
    <xf numFmtId="10" fontId="44" fillId="4" borderId="18" xfId="4" applyNumberFormat="1" applyFont="1" applyFill="1" applyBorder="1" applyAlignment="1">
      <alignment horizontal="center" vertical="center"/>
    </xf>
    <xf numFmtId="14" fontId="50" fillId="4" borderId="1" xfId="4" applyNumberFormat="1" applyFont="1" applyFill="1" applyBorder="1" applyAlignment="1">
      <alignment horizontal="center" vertical="center"/>
    </xf>
    <xf numFmtId="43" fontId="51" fillId="4" borderId="1" xfId="4" applyFont="1" applyFill="1" applyBorder="1" applyAlignment="1">
      <alignment vertical="center"/>
    </xf>
    <xf numFmtId="43" fontId="51" fillId="4" borderId="1" xfId="4" applyFont="1" applyFill="1" applyBorder="1" applyAlignment="1">
      <alignment horizontal="center" vertical="center"/>
    </xf>
    <xf numFmtId="43" fontId="52" fillId="4" borderId="0" xfId="4" applyFont="1" applyFill="1" applyAlignment="1">
      <alignment vertical="center"/>
    </xf>
    <xf numFmtId="14" fontId="46" fillId="4" borderId="3" xfId="3" applyNumberFormat="1" applyFont="1" applyFill="1" applyBorder="1" applyAlignment="1">
      <alignment horizontal="center"/>
    </xf>
    <xf numFmtId="43" fontId="46" fillId="4" borderId="20" xfId="4" applyFont="1" applyFill="1" applyBorder="1" applyAlignment="1">
      <alignment horizontal="center" vertical="center"/>
    </xf>
    <xf numFmtId="14" fontId="46" fillId="4" borderId="19" xfId="3" applyNumberFormat="1" applyFont="1" applyFill="1" applyBorder="1" applyAlignment="1">
      <alignment horizontal="center" vertical="center" wrapText="1"/>
    </xf>
    <xf numFmtId="164" fontId="46" fillId="4" borderId="19" xfId="4" applyNumberFormat="1" applyFont="1" applyFill="1" applyBorder="1" applyAlignment="1">
      <alignment vertical="center"/>
    </xf>
    <xf numFmtId="43" fontId="46" fillId="4" borderId="19" xfId="4" applyFont="1" applyFill="1" applyBorder="1" applyAlignment="1">
      <alignment vertical="center"/>
    </xf>
    <xf numFmtId="0" fontId="53" fillId="4" borderId="0" xfId="3" applyFont="1" applyFill="1" applyAlignment="1">
      <alignment horizontal="center"/>
    </xf>
    <xf numFmtId="0" fontId="53" fillId="4" borderId="0" xfId="3" applyFont="1" applyFill="1"/>
    <xf numFmtId="14" fontId="53" fillId="4" borderId="0" xfId="3" applyNumberFormat="1" applyFont="1" applyFill="1" applyAlignment="1">
      <alignment horizontal="center"/>
    </xf>
    <xf numFmtId="164" fontId="53" fillId="4" borderId="0" xfId="4" applyNumberFormat="1" applyFont="1" applyFill="1"/>
    <xf numFmtId="43" fontId="53" fillId="4" borderId="0" xfId="3" applyNumberFormat="1" applyFont="1" applyFill="1"/>
    <xf numFmtId="14" fontId="54" fillId="4" borderId="0" xfId="4" applyNumberFormat="1" applyFont="1" applyFill="1" applyAlignment="1">
      <alignment horizontal="center"/>
    </xf>
    <xf numFmtId="164" fontId="54" fillId="4" borderId="0" xfId="4" applyNumberFormat="1" applyFont="1" applyFill="1"/>
    <xf numFmtId="43" fontId="53" fillId="4" borderId="0" xfId="4" applyFont="1" applyFill="1"/>
    <xf numFmtId="164" fontId="55" fillId="4" borderId="0" xfId="4" applyNumberFormat="1" applyFont="1" applyFill="1"/>
    <xf numFmtId="0" fontId="55" fillId="4" borderId="0" xfId="3" applyFont="1" applyFill="1"/>
    <xf numFmtId="0" fontId="55" fillId="4" borderId="0" xfId="3" applyFont="1" applyFill="1" applyAlignment="1">
      <alignment horizontal="center"/>
    </xf>
    <xf numFmtId="43" fontId="55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6" fillId="4" borderId="2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4" fontId="46" fillId="4" borderId="3" xfId="3" applyNumberFormat="1" applyFont="1" applyFill="1" applyBorder="1" applyAlignment="1">
      <alignment horizontal="center" vertical="center"/>
    </xf>
    <xf numFmtId="14" fontId="46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7" fillId="0" borderId="3" xfId="0" applyFont="1" applyBorder="1" applyAlignment="1">
      <alignment horizontal="center" vertical="center"/>
    </xf>
    <xf numFmtId="14" fontId="67" fillId="0" borderId="2" xfId="0" applyNumberFormat="1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2" xfId="0" applyFont="1" applyBorder="1" applyAlignment="1">
      <alignment vertical="center"/>
    </xf>
    <xf numFmtId="49" fontId="67" fillId="0" borderId="2" xfId="0" applyNumberFormat="1" applyFont="1" applyBorder="1" applyAlignment="1">
      <alignment horizontal="center" vertical="center"/>
    </xf>
    <xf numFmtId="43" fontId="67" fillId="0" borderId="2" xfId="1" applyFont="1" applyBorder="1" applyAlignment="1">
      <alignment vertical="center"/>
    </xf>
    <xf numFmtId="164" fontId="67" fillId="0" borderId="2" xfId="1" applyNumberFormat="1" applyFont="1" applyBorder="1" applyAlignment="1">
      <alignment vertical="center"/>
    </xf>
    <xf numFmtId="49" fontId="67" fillId="0" borderId="2" xfId="0" applyNumberFormat="1" applyFont="1" applyBorder="1" applyAlignment="1">
      <alignment vertical="center"/>
    </xf>
    <xf numFmtId="0" fontId="67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43" fontId="52" fillId="4" borderId="1" xfId="4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/>
    </xf>
    <xf numFmtId="49" fontId="48" fillId="4" borderId="1" xfId="4" applyNumberFormat="1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</cellXfs>
  <cellStyles count="37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57"/>
  <sheetViews>
    <sheetView topLeftCell="B1" workbookViewId="0">
      <pane xSplit="5" ySplit="3" topLeftCell="G121" activePane="bottomRight" state="frozen"/>
      <selection activeCell="B1" sqref="B1"/>
      <selection pane="topRight" activeCell="G1" sqref="G1"/>
      <selection pane="bottomLeft" activeCell="B4" sqref="B4"/>
      <selection pane="bottomRight" activeCell="C131" sqref="C131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9.28515625" style="57" customWidth="1"/>
    <col min="7" max="7" width="18.42578125" style="57" customWidth="1"/>
    <col min="8" max="8" width="26.5703125" style="57" customWidth="1"/>
    <col min="9" max="9" width="10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0.42578125" style="57" customWidth="1"/>
    <col min="16" max="16" width="14" style="57" customWidth="1"/>
    <col min="17" max="17" width="9.140625" style="105"/>
    <col min="18" max="18" width="4.42578125" style="255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</row>
    <row r="2" spans="1:18" s="59" customFormat="1" ht="24" customHeight="1">
      <c r="A2" s="58"/>
      <c r="B2" s="264" t="s">
        <v>1</v>
      </c>
      <c r="C2" s="261" t="s">
        <v>12</v>
      </c>
      <c r="D2" s="262"/>
      <c r="E2" s="263"/>
      <c r="F2" s="261" t="s">
        <v>20</v>
      </c>
      <c r="G2" s="262"/>
      <c r="H2" s="262"/>
      <c r="I2" s="262"/>
      <c r="J2" s="262"/>
      <c r="K2" s="262"/>
      <c r="L2" s="262"/>
      <c r="M2" s="263"/>
      <c r="N2" s="256" t="s">
        <v>0</v>
      </c>
      <c r="O2" s="260" t="s">
        <v>21</v>
      </c>
      <c r="P2" s="260"/>
      <c r="Q2" s="258" t="s">
        <v>22</v>
      </c>
      <c r="R2" s="58"/>
    </row>
    <row r="3" spans="1:18" s="59" customFormat="1" ht="36.75" customHeight="1">
      <c r="A3" s="58"/>
      <c r="B3" s="257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257"/>
      <c r="O3" s="61" t="s">
        <v>28</v>
      </c>
      <c r="P3" s="61" t="s">
        <v>29</v>
      </c>
      <c r="Q3" s="259"/>
      <c r="R3" s="58"/>
    </row>
    <row r="4" spans="1:18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147</v>
      </c>
      <c r="R4" s="255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156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147</v>
      </c>
      <c r="R5" s="255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147</v>
      </c>
      <c r="R6" s="255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147</v>
      </c>
      <c r="R7" s="255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147</v>
      </c>
      <c r="R8" s="255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147</v>
      </c>
      <c r="R9" s="255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145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146</v>
      </c>
      <c r="R10" s="255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145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146</v>
      </c>
      <c r="R11" s="255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146</v>
      </c>
      <c r="R12" s="255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6">
        <f t="shared" si="0"/>
        <v>10</v>
      </c>
      <c r="C13" s="106" t="s">
        <v>128</v>
      </c>
      <c r="D13" s="107">
        <v>42559</v>
      </c>
      <c r="E13" s="106" t="s">
        <v>23</v>
      </c>
      <c r="F13" s="108" t="s">
        <v>132</v>
      </c>
      <c r="G13" s="108" t="s">
        <v>131</v>
      </c>
      <c r="H13" s="108" t="s">
        <v>130</v>
      </c>
      <c r="I13" s="106" t="s">
        <v>10</v>
      </c>
      <c r="J13" s="109"/>
      <c r="K13" s="110"/>
      <c r="L13" s="111"/>
      <c r="M13" s="111"/>
      <c r="N13" s="108" t="s">
        <v>129</v>
      </c>
      <c r="O13" s="112">
        <v>39600</v>
      </c>
      <c r="P13" s="113"/>
      <c r="Q13" s="114" t="s">
        <v>147</v>
      </c>
      <c r="R13" s="255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6">
        <f t="shared" si="0"/>
        <v>11</v>
      </c>
      <c r="C14" s="106" t="s">
        <v>128</v>
      </c>
      <c r="D14" s="107">
        <v>42562</v>
      </c>
      <c r="E14" s="106" t="s">
        <v>23</v>
      </c>
      <c r="F14" s="108" t="s">
        <v>133</v>
      </c>
      <c r="G14" s="108" t="s">
        <v>134</v>
      </c>
      <c r="H14" s="108" t="s">
        <v>130</v>
      </c>
      <c r="I14" s="106" t="s">
        <v>10</v>
      </c>
      <c r="J14" s="109"/>
      <c r="K14" s="110"/>
      <c r="L14" s="111"/>
      <c r="M14" s="111"/>
      <c r="N14" s="108" t="s">
        <v>135</v>
      </c>
      <c r="O14" s="112"/>
      <c r="P14" s="113">
        <v>100000000</v>
      </c>
      <c r="Q14" s="114" t="s">
        <v>148</v>
      </c>
      <c r="R14" s="255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6">
        <f t="shared" si="0"/>
        <v>12</v>
      </c>
      <c r="C15" s="106" t="s">
        <v>104</v>
      </c>
      <c r="D15" s="107">
        <v>42562</v>
      </c>
      <c r="E15" s="106" t="s">
        <v>24</v>
      </c>
      <c r="F15" s="108" t="s">
        <v>136</v>
      </c>
      <c r="G15" s="108" t="s">
        <v>137</v>
      </c>
      <c r="H15" s="108" t="s">
        <v>139</v>
      </c>
      <c r="I15" s="111" t="s">
        <v>138</v>
      </c>
      <c r="J15" s="109"/>
      <c r="K15" s="110"/>
      <c r="L15" s="111"/>
      <c r="M15" s="111"/>
      <c r="N15" s="108" t="s">
        <v>140</v>
      </c>
      <c r="O15" s="112"/>
      <c r="P15" s="113">
        <v>100000000</v>
      </c>
      <c r="Q15" s="114" t="s">
        <v>147</v>
      </c>
      <c r="R15" s="255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6">
        <f t="shared" si="0"/>
        <v>13</v>
      </c>
      <c r="C16" s="106" t="s">
        <v>128</v>
      </c>
      <c r="D16" s="107">
        <v>42562</v>
      </c>
      <c r="E16" s="106" t="s">
        <v>25</v>
      </c>
      <c r="F16" s="108" t="s">
        <v>143</v>
      </c>
      <c r="G16" s="108" t="s">
        <v>142</v>
      </c>
      <c r="H16" s="108" t="s">
        <v>141</v>
      </c>
      <c r="I16" s="106" t="s">
        <v>10</v>
      </c>
      <c r="J16" s="109"/>
      <c r="K16" s="110"/>
      <c r="L16" s="111"/>
      <c r="M16" s="111"/>
      <c r="N16" s="108" t="s">
        <v>144</v>
      </c>
      <c r="O16" s="112"/>
      <c r="P16" s="113">
        <v>77480000</v>
      </c>
      <c r="Q16" s="114" t="s">
        <v>148</v>
      </c>
      <c r="R16" s="255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6">
        <f t="shared" si="0"/>
        <v>14</v>
      </c>
      <c r="C17" s="106" t="s">
        <v>82</v>
      </c>
      <c r="D17" s="107">
        <v>42564</v>
      </c>
      <c r="E17" s="106" t="s">
        <v>23</v>
      </c>
      <c r="F17" s="108" t="s">
        <v>153</v>
      </c>
      <c r="G17" s="115" t="s">
        <v>150</v>
      </c>
      <c r="H17" s="108" t="s">
        <v>151</v>
      </c>
      <c r="I17" s="111" t="s">
        <v>10</v>
      </c>
      <c r="J17" s="109"/>
      <c r="K17" s="110"/>
      <c r="L17" s="111"/>
      <c r="M17" s="111"/>
      <c r="N17" s="108" t="s">
        <v>152</v>
      </c>
      <c r="O17" s="112"/>
      <c r="P17" s="113">
        <v>11852379</v>
      </c>
      <c r="Q17" s="114" t="s">
        <v>147</v>
      </c>
      <c r="R17" s="255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6">
        <f t="shared" si="0"/>
        <v>15</v>
      </c>
      <c r="C18" s="106" t="s">
        <v>82</v>
      </c>
      <c r="D18" s="107">
        <v>42566</v>
      </c>
      <c r="E18" s="106" t="s">
        <v>23</v>
      </c>
      <c r="F18" s="108" t="s">
        <v>154</v>
      </c>
      <c r="G18" s="108" t="s">
        <v>155</v>
      </c>
      <c r="H18" s="108" t="s">
        <v>156</v>
      </c>
      <c r="I18" s="111" t="s">
        <v>10</v>
      </c>
      <c r="J18" s="109"/>
      <c r="K18" s="110"/>
      <c r="L18" s="111"/>
      <c r="M18" s="111"/>
      <c r="N18" s="108" t="s">
        <v>157</v>
      </c>
      <c r="O18" s="112"/>
      <c r="P18" s="113">
        <v>50000000</v>
      </c>
      <c r="Q18" s="114" t="s">
        <v>147</v>
      </c>
      <c r="R18" s="255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6">
        <f t="shared" si="0"/>
        <v>16</v>
      </c>
      <c r="C19" s="106" t="s">
        <v>82</v>
      </c>
      <c r="D19" s="107">
        <v>42566</v>
      </c>
      <c r="E19" s="106" t="s">
        <v>24</v>
      </c>
      <c r="F19" s="108" t="s">
        <v>133</v>
      </c>
      <c r="G19" s="108" t="s">
        <v>134</v>
      </c>
      <c r="H19" s="108" t="s">
        <v>130</v>
      </c>
      <c r="I19" s="106" t="s">
        <v>10</v>
      </c>
      <c r="J19" s="109"/>
      <c r="K19" s="110"/>
      <c r="L19" s="111"/>
      <c r="M19" s="111"/>
      <c r="N19" s="108" t="s">
        <v>135</v>
      </c>
      <c r="O19" s="112"/>
      <c r="P19" s="113">
        <v>29000000</v>
      </c>
      <c r="Q19" s="114" t="s">
        <v>147</v>
      </c>
      <c r="R19" s="255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6">
        <f t="shared" si="0"/>
        <v>17</v>
      </c>
      <c r="C20" s="106" t="s">
        <v>104</v>
      </c>
      <c r="D20" s="107">
        <v>42566</v>
      </c>
      <c r="E20" s="106" t="s">
        <v>25</v>
      </c>
      <c r="F20" s="108" t="s">
        <v>158</v>
      </c>
      <c r="G20" s="108" t="s">
        <v>159</v>
      </c>
      <c r="H20" s="108" t="s">
        <v>160</v>
      </c>
      <c r="I20" s="111" t="s">
        <v>161</v>
      </c>
      <c r="J20" s="109"/>
      <c r="K20" s="110"/>
      <c r="L20" s="111"/>
      <c r="M20" s="111"/>
      <c r="N20" s="108" t="s">
        <v>162</v>
      </c>
      <c r="O20" s="112"/>
      <c r="P20" s="113">
        <v>28700000</v>
      </c>
      <c r="Q20" s="114" t="s">
        <v>147</v>
      </c>
      <c r="R20" s="255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6" t="s">
        <v>23</v>
      </c>
      <c r="F21" s="108" t="s">
        <v>132</v>
      </c>
      <c r="G21" s="71" t="s">
        <v>163</v>
      </c>
      <c r="H21" s="64" t="s">
        <v>164</v>
      </c>
      <c r="I21" s="106" t="s">
        <v>10</v>
      </c>
      <c r="J21" s="66"/>
      <c r="K21" s="67"/>
      <c r="L21" s="65"/>
      <c r="M21" s="65"/>
      <c r="N21" s="64" t="s">
        <v>165</v>
      </c>
      <c r="O21" s="68"/>
      <c r="P21" s="69">
        <v>32000000</v>
      </c>
      <c r="Q21" s="114" t="s">
        <v>147</v>
      </c>
      <c r="R21" s="255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6" t="s">
        <v>24</v>
      </c>
      <c r="F22" s="108" t="s">
        <v>133</v>
      </c>
      <c r="G22" s="108" t="s">
        <v>134</v>
      </c>
      <c r="H22" s="108" t="s">
        <v>130</v>
      </c>
      <c r="I22" s="106" t="s">
        <v>10</v>
      </c>
      <c r="J22" s="66"/>
      <c r="K22" s="67"/>
      <c r="L22" s="65"/>
      <c r="M22" s="65"/>
      <c r="N22" s="108" t="s">
        <v>135</v>
      </c>
      <c r="O22" s="68"/>
      <c r="P22" s="69">
        <v>160000000</v>
      </c>
      <c r="Q22" s="114" t="s">
        <v>147</v>
      </c>
      <c r="R22" s="255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6" t="s">
        <v>25</v>
      </c>
      <c r="F23" s="108" t="s">
        <v>143</v>
      </c>
      <c r="G23" s="108" t="s">
        <v>142</v>
      </c>
      <c r="H23" s="108" t="s">
        <v>141</v>
      </c>
      <c r="I23" s="106" t="s">
        <v>10</v>
      </c>
      <c r="J23" s="109"/>
      <c r="K23" s="110"/>
      <c r="L23" s="111"/>
      <c r="M23" s="111"/>
      <c r="N23" s="108" t="s">
        <v>144</v>
      </c>
      <c r="O23" s="112"/>
      <c r="P23" s="113">
        <v>40000000</v>
      </c>
      <c r="Q23" s="114" t="s">
        <v>147</v>
      </c>
      <c r="R23" s="255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6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166</v>
      </c>
      <c r="O24" s="68"/>
      <c r="P24" s="69">
        <v>20769870</v>
      </c>
      <c r="Q24" s="114" t="s">
        <v>147</v>
      </c>
      <c r="R24" s="255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6" t="s">
        <v>23</v>
      </c>
      <c r="F25" s="64" t="s">
        <v>167</v>
      </c>
      <c r="G25" s="64" t="s">
        <v>203</v>
      </c>
      <c r="H25" s="64" t="s">
        <v>168</v>
      </c>
      <c r="I25" s="111" t="s">
        <v>161</v>
      </c>
      <c r="J25" s="66"/>
      <c r="K25" s="67"/>
      <c r="L25" s="65"/>
      <c r="M25" s="65"/>
      <c r="N25" s="116" t="s">
        <v>193</v>
      </c>
      <c r="O25" s="68"/>
      <c r="P25" s="69">
        <f>26959790+26175600</f>
        <v>53135390</v>
      </c>
      <c r="Q25" s="114" t="s">
        <v>194</v>
      </c>
      <c r="R25" s="255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6" t="s">
        <v>23</v>
      </c>
      <c r="F26" s="108" t="s">
        <v>132</v>
      </c>
      <c r="G26" s="71" t="s">
        <v>170</v>
      </c>
      <c r="H26" s="64" t="s">
        <v>169</v>
      </c>
      <c r="I26" s="106" t="s">
        <v>10</v>
      </c>
      <c r="J26" s="66"/>
      <c r="K26" s="67"/>
      <c r="L26" s="65"/>
      <c r="M26" s="65"/>
      <c r="N26" s="64" t="s">
        <v>171</v>
      </c>
      <c r="O26" s="68">
        <v>500</v>
      </c>
      <c r="P26" s="69"/>
      <c r="Q26" s="114" t="s">
        <v>195</v>
      </c>
      <c r="R26" s="255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6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173</v>
      </c>
      <c r="O27" s="68"/>
      <c r="P27" s="69">
        <v>23985830</v>
      </c>
      <c r="Q27" s="114" t="s">
        <v>195</v>
      </c>
      <c r="R27" s="255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6" t="s">
        <v>24</v>
      </c>
      <c r="F28" s="64" t="s">
        <v>174</v>
      </c>
      <c r="G28" s="71" t="s">
        <v>175</v>
      </c>
      <c r="H28" s="64" t="s">
        <v>176</v>
      </c>
      <c r="I28" s="106" t="s">
        <v>10</v>
      </c>
      <c r="J28" s="66"/>
      <c r="K28" s="67"/>
      <c r="L28" s="65"/>
      <c r="M28" s="65"/>
      <c r="N28" s="64" t="s">
        <v>177</v>
      </c>
      <c r="O28" s="68"/>
      <c r="P28" s="69">
        <v>64375104</v>
      </c>
      <c r="Q28" s="114" t="s">
        <v>195</v>
      </c>
      <c r="R28" s="255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6" t="s">
        <v>25</v>
      </c>
      <c r="F29" s="64" t="s">
        <v>178</v>
      </c>
      <c r="G29" s="71" t="s">
        <v>179</v>
      </c>
      <c r="H29" s="64" t="s">
        <v>180</v>
      </c>
      <c r="I29" s="106" t="s">
        <v>10</v>
      </c>
      <c r="J29" s="66"/>
      <c r="K29" s="67"/>
      <c r="L29" s="65"/>
      <c r="M29" s="65"/>
      <c r="N29" s="64" t="s">
        <v>184</v>
      </c>
      <c r="O29" s="68"/>
      <c r="P29" s="69">
        <v>420000</v>
      </c>
      <c r="Q29" s="114" t="s">
        <v>195</v>
      </c>
      <c r="R29" s="255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6" t="s">
        <v>26</v>
      </c>
      <c r="F30" s="64" t="s">
        <v>178</v>
      </c>
      <c r="G30" s="71" t="s">
        <v>181</v>
      </c>
      <c r="H30" s="64" t="s">
        <v>182</v>
      </c>
      <c r="I30" s="106" t="s">
        <v>10</v>
      </c>
      <c r="J30" s="66"/>
      <c r="K30" s="67"/>
      <c r="L30" s="65"/>
      <c r="M30" s="65"/>
      <c r="N30" s="64" t="s">
        <v>183</v>
      </c>
      <c r="O30" s="68"/>
      <c r="P30" s="69">
        <v>9215000</v>
      </c>
      <c r="Q30" s="114" t="s">
        <v>195</v>
      </c>
      <c r="R30" s="255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6" t="s">
        <v>84</v>
      </c>
      <c r="F31" s="108" t="s">
        <v>133</v>
      </c>
      <c r="G31" s="108" t="s">
        <v>134</v>
      </c>
      <c r="H31" s="108" t="s">
        <v>130</v>
      </c>
      <c r="I31" s="106" t="s">
        <v>10</v>
      </c>
      <c r="J31" s="66"/>
      <c r="K31" s="67"/>
      <c r="L31" s="65"/>
      <c r="M31" s="65"/>
      <c r="N31" s="108" t="s">
        <v>135</v>
      </c>
      <c r="O31" s="68"/>
      <c r="P31" s="69">
        <v>61000000</v>
      </c>
      <c r="Q31" s="114" t="s">
        <v>195</v>
      </c>
      <c r="R31" s="255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6" t="s">
        <v>85</v>
      </c>
      <c r="F32" s="64" t="s">
        <v>190</v>
      </c>
      <c r="G32" s="64" t="s">
        <v>196</v>
      </c>
      <c r="H32" s="64" t="s">
        <v>191</v>
      </c>
      <c r="I32" s="106" t="s">
        <v>10</v>
      </c>
      <c r="J32" s="66"/>
      <c r="K32" s="67"/>
      <c r="L32" s="65"/>
      <c r="M32" s="65"/>
      <c r="N32" s="64" t="s">
        <v>192</v>
      </c>
      <c r="O32" s="68"/>
      <c r="P32" s="69">
        <v>21000000</v>
      </c>
      <c r="Q32" s="114" t="s">
        <v>195</v>
      </c>
      <c r="R32" s="255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6" t="s">
        <v>172</v>
      </c>
      <c r="F33" s="64" t="s">
        <v>185</v>
      </c>
      <c r="G33" s="64" t="s">
        <v>186</v>
      </c>
      <c r="H33" s="64" t="s">
        <v>187</v>
      </c>
      <c r="I33" s="65" t="s">
        <v>188</v>
      </c>
      <c r="J33" s="66"/>
      <c r="K33" s="67"/>
      <c r="L33" s="65"/>
      <c r="M33" s="65"/>
      <c r="N33" s="64" t="s">
        <v>189</v>
      </c>
      <c r="O33" s="68"/>
      <c r="P33" s="69">
        <v>40920000</v>
      </c>
      <c r="Q33" s="114" t="s">
        <v>195</v>
      </c>
      <c r="R33" s="255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6" t="s">
        <v>23</v>
      </c>
      <c r="F34" s="64" t="s">
        <v>197</v>
      </c>
      <c r="G34" s="64" t="s">
        <v>198</v>
      </c>
      <c r="H34" s="64" t="s">
        <v>199</v>
      </c>
      <c r="I34" s="111" t="s">
        <v>161</v>
      </c>
      <c r="J34" s="66"/>
      <c r="K34" s="67"/>
      <c r="L34" s="65"/>
      <c r="M34" s="65"/>
      <c r="N34" s="64" t="s">
        <v>200</v>
      </c>
      <c r="O34" s="68"/>
      <c r="P34" s="69">
        <v>31034850</v>
      </c>
      <c r="Q34" s="114" t="s">
        <v>195</v>
      </c>
      <c r="R34" s="255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6" t="s">
        <v>24</v>
      </c>
      <c r="F35" s="64" t="s">
        <v>201</v>
      </c>
      <c r="G35" s="64" t="s">
        <v>202</v>
      </c>
      <c r="H35" s="64" t="s">
        <v>168</v>
      </c>
      <c r="I35" s="111" t="s">
        <v>161</v>
      </c>
      <c r="J35" s="66"/>
      <c r="K35" s="67"/>
      <c r="L35" s="65"/>
      <c r="M35" s="65"/>
      <c r="N35" s="64" t="s">
        <v>204</v>
      </c>
      <c r="O35" s="68"/>
      <c r="P35" s="69">
        <v>17500000</v>
      </c>
      <c r="Q35" s="114" t="s">
        <v>195</v>
      </c>
      <c r="R35" s="255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6" t="s">
        <v>23</v>
      </c>
      <c r="F36" s="64" t="s">
        <v>205</v>
      </c>
      <c r="G36" s="64" t="s">
        <v>206</v>
      </c>
      <c r="H36" s="64" t="s">
        <v>168</v>
      </c>
      <c r="I36" s="111" t="s">
        <v>161</v>
      </c>
      <c r="J36" s="66"/>
      <c r="K36" s="67"/>
      <c r="L36" s="65"/>
      <c r="M36" s="65"/>
      <c r="N36" s="64" t="s">
        <v>207</v>
      </c>
      <c r="O36" s="68"/>
      <c r="P36" s="69">
        <v>62466820</v>
      </c>
      <c r="Q36" s="114" t="s">
        <v>195</v>
      </c>
      <c r="R36" s="255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6" t="s">
        <v>24</v>
      </c>
      <c r="F37" s="108" t="s">
        <v>132</v>
      </c>
      <c r="G37" s="64" t="s">
        <v>211</v>
      </c>
      <c r="H37" s="64" t="s">
        <v>208</v>
      </c>
      <c r="I37" s="65" t="s">
        <v>10</v>
      </c>
      <c r="J37" s="66"/>
      <c r="K37" s="67"/>
      <c r="L37" s="65"/>
      <c r="M37" s="65"/>
      <c r="N37" s="64" t="s">
        <v>209</v>
      </c>
      <c r="O37" s="68"/>
      <c r="P37" s="69">
        <v>18000000</v>
      </c>
      <c r="Q37" s="114" t="s">
        <v>195</v>
      </c>
      <c r="R37" s="255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6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210</v>
      </c>
      <c r="O38" s="68"/>
      <c r="P38" s="69">
        <v>17432580</v>
      </c>
      <c r="Q38" s="114" t="s">
        <v>195</v>
      </c>
      <c r="R38" s="255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6" t="s">
        <v>26</v>
      </c>
      <c r="F39" s="64" t="s">
        <v>212</v>
      </c>
      <c r="G39" s="64" t="s">
        <v>213</v>
      </c>
      <c r="H39" s="64" t="s">
        <v>214</v>
      </c>
      <c r="I39" s="111" t="s">
        <v>161</v>
      </c>
      <c r="J39" s="66"/>
      <c r="K39" s="67"/>
      <c r="L39" s="65"/>
      <c r="M39" s="65"/>
      <c r="N39" s="64" t="s">
        <v>215</v>
      </c>
      <c r="O39" s="68"/>
      <c r="P39" s="69">
        <v>200000000</v>
      </c>
      <c r="Q39" s="114" t="s">
        <v>195</v>
      </c>
      <c r="R39" s="255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6" t="s">
        <v>23</v>
      </c>
      <c r="F40" s="108" t="s">
        <v>132</v>
      </c>
      <c r="G40" s="108" t="s">
        <v>131</v>
      </c>
      <c r="H40" s="108" t="s">
        <v>130</v>
      </c>
      <c r="I40" s="106" t="s">
        <v>10</v>
      </c>
      <c r="J40" s="109"/>
      <c r="K40" s="110"/>
      <c r="L40" s="111"/>
      <c r="M40" s="111"/>
      <c r="N40" s="108" t="s">
        <v>129</v>
      </c>
      <c r="O40" s="112">
        <v>1600</v>
      </c>
      <c r="P40" s="69"/>
      <c r="Q40" s="114" t="s">
        <v>195</v>
      </c>
      <c r="R40" s="255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145</v>
      </c>
      <c r="D41" s="67">
        <v>42600</v>
      </c>
      <c r="E41" s="106" t="s">
        <v>23</v>
      </c>
      <c r="F41" s="108" t="s">
        <v>132</v>
      </c>
      <c r="G41" s="64" t="s">
        <v>211</v>
      </c>
      <c r="H41" s="108" t="s">
        <v>208</v>
      </c>
      <c r="I41" s="106" t="s">
        <v>10</v>
      </c>
      <c r="J41" s="66"/>
      <c r="K41" s="67"/>
      <c r="L41" s="65"/>
      <c r="M41" s="65"/>
      <c r="N41" s="64" t="s">
        <v>165</v>
      </c>
      <c r="O41" s="68"/>
      <c r="P41" s="69">
        <v>500000000</v>
      </c>
      <c r="Q41" s="104" t="s">
        <v>194</v>
      </c>
      <c r="R41" s="255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145</v>
      </c>
      <c r="D42" s="67">
        <v>42600</v>
      </c>
      <c r="E42" s="106" t="s">
        <v>24</v>
      </c>
      <c r="F42" s="108" t="s">
        <v>133</v>
      </c>
      <c r="G42" s="108" t="s">
        <v>134</v>
      </c>
      <c r="H42" s="108" t="s">
        <v>130</v>
      </c>
      <c r="I42" s="106" t="s">
        <v>10</v>
      </c>
      <c r="J42" s="66"/>
      <c r="K42" s="67"/>
      <c r="L42" s="65"/>
      <c r="M42" s="65"/>
      <c r="N42" s="108" t="s">
        <v>135</v>
      </c>
      <c r="O42" s="68"/>
      <c r="P42" s="69">
        <v>20000000</v>
      </c>
      <c r="Q42" s="104" t="s">
        <v>194</v>
      </c>
      <c r="R42" s="255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6" t="s">
        <v>23</v>
      </c>
      <c r="F43" s="108" t="s">
        <v>154</v>
      </c>
      <c r="G43" s="108" t="s">
        <v>155</v>
      </c>
      <c r="H43" s="108" t="s">
        <v>156</v>
      </c>
      <c r="I43" s="111" t="s">
        <v>10</v>
      </c>
      <c r="J43" s="109"/>
      <c r="K43" s="110"/>
      <c r="L43" s="111"/>
      <c r="M43" s="111"/>
      <c r="N43" s="108" t="s">
        <v>157</v>
      </c>
      <c r="O43" s="112"/>
      <c r="P43" s="113">
        <v>59355400</v>
      </c>
      <c r="Q43" s="114" t="s">
        <v>195</v>
      </c>
      <c r="R43" s="255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6" t="s">
        <v>24</v>
      </c>
      <c r="F44" s="64" t="s">
        <v>95</v>
      </c>
      <c r="G44" s="71" t="s">
        <v>98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4" t="s">
        <v>195</v>
      </c>
      <c r="R44" s="255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6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4" t="s">
        <v>195</v>
      </c>
      <c r="R45" s="255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6" t="s">
        <v>26</v>
      </c>
      <c r="F46" s="108" t="s">
        <v>216</v>
      </c>
      <c r="G46" s="64" t="s">
        <v>217</v>
      </c>
      <c r="H46" s="64" t="s">
        <v>218</v>
      </c>
      <c r="I46" s="62" t="s">
        <v>10</v>
      </c>
      <c r="J46" s="66"/>
      <c r="K46" s="67"/>
      <c r="L46" s="65"/>
      <c r="M46" s="65"/>
      <c r="N46" s="64" t="s">
        <v>219</v>
      </c>
      <c r="O46" s="68"/>
      <c r="P46" s="69">
        <v>6400000</v>
      </c>
      <c r="Q46" s="114" t="s">
        <v>195</v>
      </c>
      <c r="R46" s="255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6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220</v>
      </c>
      <c r="O47" s="68"/>
      <c r="P47" s="69">
        <v>32480910</v>
      </c>
      <c r="Q47" s="114" t="s">
        <v>195</v>
      </c>
      <c r="R47" s="255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6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221</v>
      </c>
      <c r="O48" s="68"/>
      <c r="P48" s="69">
        <v>17842328</v>
      </c>
      <c r="Q48" s="114" t="s">
        <v>195</v>
      </c>
      <c r="R48" s="255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6" t="s">
        <v>172</v>
      </c>
      <c r="F49" s="64" t="s">
        <v>223</v>
      </c>
      <c r="G49" s="64" t="s">
        <v>224</v>
      </c>
      <c r="H49" s="64" t="s">
        <v>225</v>
      </c>
      <c r="I49" s="62" t="s">
        <v>10</v>
      </c>
      <c r="J49" s="66"/>
      <c r="K49" s="67"/>
      <c r="L49" s="65"/>
      <c r="M49" s="65"/>
      <c r="N49" s="64" t="s">
        <v>226</v>
      </c>
      <c r="O49" s="68"/>
      <c r="P49" s="69">
        <v>9487000</v>
      </c>
      <c r="Q49" s="114" t="s">
        <v>195</v>
      </c>
      <c r="R49" s="255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6" t="s">
        <v>222</v>
      </c>
      <c r="F50" s="64" t="s">
        <v>227</v>
      </c>
      <c r="G50" s="64" t="s">
        <v>228</v>
      </c>
      <c r="H50" s="64" t="s">
        <v>229</v>
      </c>
      <c r="I50" s="111" t="s">
        <v>161</v>
      </c>
      <c r="J50" s="66"/>
      <c r="K50" s="67"/>
      <c r="L50" s="65"/>
      <c r="M50" s="65"/>
      <c r="N50" s="64" t="s">
        <v>230</v>
      </c>
      <c r="O50" s="68"/>
      <c r="P50" s="69">
        <v>8143872</v>
      </c>
      <c r="Q50" s="114" t="s">
        <v>195</v>
      </c>
      <c r="R50" s="255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6" t="s">
        <v>232</v>
      </c>
      <c r="F51" s="108" t="s">
        <v>133</v>
      </c>
      <c r="G51" s="108" t="s">
        <v>134</v>
      </c>
      <c r="H51" s="108" t="s">
        <v>130</v>
      </c>
      <c r="I51" s="106" t="s">
        <v>10</v>
      </c>
      <c r="J51" s="66"/>
      <c r="K51" s="67"/>
      <c r="L51" s="65"/>
      <c r="M51" s="65"/>
      <c r="N51" s="108" t="s">
        <v>135</v>
      </c>
      <c r="O51" s="68"/>
      <c r="P51" s="69">
        <v>30000000</v>
      </c>
      <c r="Q51" s="114" t="s">
        <v>195</v>
      </c>
      <c r="R51" s="255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6" t="s">
        <v>233</v>
      </c>
      <c r="F52" s="64" t="s">
        <v>167</v>
      </c>
      <c r="G52" s="64" t="s">
        <v>203</v>
      </c>
      <c r="H52" s="64" t="s">
        <v>168</v>
      </c>
      <c r="I52" s="111" t="s">
        <v>161</v>
      </c>
      <c r="J52" s="66"/>
      <c r="K52" s="67"/>
      <c r="L52" s="65"/>
      <c r="M52" s="65"/>
      <c r="N52" s="116" t="s">
        <v>231</v>
      </c>
      <c r="O52" s="68"/>
      <c r="P52" s="69">
        <v>30533800</v>
      </c>
      <c r="Q52" s="114" t="s">
        <v>195</v>
      </c>
      <c r="R52" s="255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6" t="s">
        <v>23</v>
      </c>
      <c r="F53" s="64" t="s">
        <v>234</v>
      </c>
      <c r="G53" s="64" t="s">
        <v>235</v>
      </c>
      <c r="H53" s="64" t="s">
        <v>218</v>
      </c>
      <c r="I53" s="62" t="s">
        <v>10</v>
      </c>
      <c r="J53" s="66"/>
      <c r="K53" s="67"/>
      <c r="L53" s="65"/>
      <c r="M53" s="65"/>
      <c r="N53" s="64" t="s">
        <v>236</v>
      </c>
      <c r="O53" s="68"/>
      <c r="P53" s="69">
        <v>28690200</v>
      </c>
      <c r="Q53" s="104" t="s">
        <v>194</v>
      </c>
      <c r="R53" s="255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6" t="s">
        <v>23</v>
      </c>
      <c r="F54" s="108" t="s">
        <v>132</v>
      </c>
      <c r="G54" s="108" t="s">
        <v>131</v>
      </c>
      <c r="H54" s="108" t="s">
        <v>130</v>
      </c>
      <c r="I54" s="106" t="s">
        <v>10</v>
      </c>
      <c r="J54" s="109"/>
      <c r="K54" s="110"/>
      <c r="L54" s="111"/>
      <c r="M54" s="111"/>
      <c r="N54" s="108" t="s">
        <v>129</v>
      </c>
      <c r="O54" s="112">
        <v>8600</v>
      </c>
      <c r="P54" s="69"/>
      <c r="Q54" s="114" t="s">
        <v>195</v>
      </c>
      <c r="R54" s="255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6" t="s">
        <v>24</v>
      </c>
      <c r="F55" s="108" t="s">
        <v>132</v>
      </c>
      <c r="G55" s="71" t="s">
        <v>163</v>
      </c>
      <c r="H55" s="64" t="s">
        <v>164</v>
      </c>
      <c r="I55" s="106" t="s">
        <v>10</v>
      </c>
      <c r="J55" s="66"/>
      <c r="K55" s="67"/>
      <c r="L55" s="65"/>
      <c r="M55" s="65"/>
      <c r="N55" s="64" t="s">
        <v>165</v>
      </c>
      <c r="O55" s="68"/>
      <c r="P55" s="69">
        <v>210000000</v>
      </c>
      <c r="Q55" s="114" t="s">
        <v>195</v>
      </c>
      <c r="R55" s="255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145</v>
      </c>
      <c r="D56" s="67">
        <v>42611</v>
      </c>
      <c r="E56" s="106" t="s">
        <v>25</v>
      </c>
      <c r="F56" s="108" t="s">
        <v>132</v>
      </c>
      <c r="G56" s="108" t="s">
        <v>329</v>
      </c>
      <c r="H56" s="108" t="s">
        <v>130</v>
      </c>
      <c r="I56" s="106" t="s">
        <v>10</v>
      </c>
      <c r="J56" s="66"/>
      <c r="K56" s="67"/>
      <c r="L56" s="65"/>
      <c r="M56" s="65"/>
      <c r="N56" s="64" t="s">
        <v>171</v>
      </c>
      <c r="O56" s="68">
        <v>6700</v>
      </c>
      <c r="P56" s="69"/>
      <c r="Q56" s="114" t="s">
        <v>195</v>
      </c>
      <c r="R56" s="255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6" t="s">
        <v>23</v>
      </c>
      <c r="F57" s="108" t="s">
        <v>132</v>
      </c>
      <c r="G57" s="64" t="s">
        <v>211</v>
      </c>
      <c r="H57" s="64" t="s">
        <v>208</v>
      </c>
      <c r="I57" s="65" t="s">
        <v>10</v>
      </c>
      <c r="J57" s="66"/>
      <c r="K57" s="67"/>
      <c r="L57" s="65"/>
      <c r="M57" s="65"/>
      <c r="N57" s="108" t="s">
        <v>129</v>
      </c>
      <c r="O57" s="68">
        <v>6700</v>
      </c>
      <c r="P57" s="69"/>
      <c r="Q57" s="114" t="s">
        <v>195</v>
      </c>
      <c r="R57" s="255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6" t="s">
        <v>24</v>
      </c>
      <c r="F58" s="108" t="s">
        <v>133</v>
      </c>
      <c r="G58" s="108" t="s">
        <v>134</v>
      </c>
      <c r="H58" s="108" t="s">
        <v>130</v>
      </c>
      <c r="I58" s="106" t="s">
        <v>10</v>
      </c>
      <c r="J58" s="66"/>
      <c r="K58" s="67"/>
      <c r="L58" s="65"/>
      <c r="M58" s="65"/>
      <c r="N58" s="108" t="s">
        <v>135</v>
      </c>
      <c r="O58" s="68"/>
      <c r="P58" s="69">
        <v>23000000</v>
      </c>
      <c r="Q58" s="114" t="s">
        <v>195</v>
      </c>
      <c r="R58" s="255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6" t="s">
        <v>26</v>
      </c>
      <c r="F59" s="64" t="s">
        <v>167</v>
      </c>
      <c r="G59" s="64" t="s">
        <v>351</v>
      </c>
      <c r="H59" s="64" t="s">
        <v>229</v>
      </c>
      <c r="I59" s="111" t="s">
        <v>161</v>
      </c>
      <c r="J59" s="66"/>
      <c r="K59" s="67"/>
      <c r="L59" s="65"/>
      <c r="M59" s="65"/>
      <c r="N59" s="116" t="s">
        <v>340</v>
      </c>
      <c r="O59" s="68"/>
      <c r="P59" s="69">
        <v>22821810</v>
      </c>
      <c r="Q59" s="114" t="s">
        <v>195</v>
      </c>
      <c r="R59" s="255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145</v>
      </c>
      <c r="D60" s="67">
        <v>42627</v>
      </c>
      <c r="E60" s="106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352</v>
      </c>
      <c r="O60" s="68"/>
      <c r="P60" s="69">
        <v>24068550</v>
      </c>
      <c r="Q60" s="104" t="s">
        <v>194</v>
      </c>
      <c r="R60" s="255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6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354</v>
      </c>
      <c r="O61" s="68"/>
      <c r="P61" s="69">
        <v>21641290</v>
      </c>
      <c r="Q61" s="104" t="s">
        <v>194</v>
      </c>
      <c r="R61" s="255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6" t="s">
        <v>24</v>
      </c>
      <c r="F62" s="64" t="s">
        <v>178</v>
      </c>
      <c r="G62" s="71" t="s">
        <v>356</v>
      </c>
      <c r="H62" s="64" t="s">
        <v>180</v>
      </c>
      <c r="I62" s="106" t="s">
        <v>10</v>
      </c>
      <c r="J62" s="66"/>
      <c r="K62" s="67"/>
      <c r="L62" s="65"/>
      <c r="M62" s="65"/>
      <c r="N62" s="64" t="s">
        <v>355</v>
      </c>
      <c r="O62" s="68"/>
      <c r="P62" s="69">
        <v>1663000</v>
      </c>
      <c r="Q62" s="104" t="s">
        <v>194</v>
      </c>
      <c r="R62" s="255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6" t="s">
        <v>25</v>
      </c>
      <c r="F63" s="64" t="s">
        <v>178</v>
      </c>
      <c r="G63" s="71" t="s">
        <v>181</v>
      </c>
      <c r="H63" s="64" t="s">
        <v>182</v>
      </c>
      <c r="I63" s="106" t="s">
        <v>10</v>
      </c>
      <c r="J63" s="66"/>
      <c r="K63" s="67"/>
      <c r="L63" s="65"/>
      <c r="M63" s="65"/>
      <c r="N63" s="64" t="s">
        <v>357</v>
      </c>
      <c r="O63" s="68"/>
      <c r="P63" s="69">
        <v>27700000</v>
      </c>
      <c r="Q63" s="104" t="s">
        <v>194</v>
      </c>
      <c r="R63" s="255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145</v>
      </c>
      <c r="D64" s="67">
        <v>42642</v>
      </c>
      <c r="E64" s="106" t="s">
        <v>23</v>
      </c>
      <c r="F64" s="108" t="s">
        <v>133</v>
      </c>
      <c r="G64" s="108" t="s">
        <v>134</v>
      </c>
      <c r="H64" s="108" t="s">
        <v>130</v>
      </c>
      <c r="I64" s="106" t="s">
        <v>10</v>
      </c>
      <c r="J64" s="66"/>
      <c r="K64" s="67"/>
      <c r="L64" s="65"/>
      <c r="M64" s="65"/>
      <c r="N64" s="108" t="s">
        <v>135</v>
      </c>
      <c r="O64" s="68"/>
      <c r="P64" s="69">
        <v>60000000</v>
      </c>
      <c r="Q64" s="104" t="s">
        <v>194</v>
      </c>
      <c r="R64" s="255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6" t="s">
        <v>24</v>
      </c>
      <c r="F65" s="64" t="s">
        <v>167</v>
      </c>
      <c r="G65" s="64" t="s">
        <v>203</v>
      </c>
      <c r="H65" s="64" t="s">
        <v>168</v>
      </c>
      <c r="I65" s="111" t="s">
        <v>161</v>
      </c>
      <c r="J65" s="66"/>
      <c r="K65" s="67"/>
      <c r="L65" s="65"/>
      <c r="M65" s="65"/>
      <c r="N65" s="116" t="s">
        <v>358</v>
      </c>
      <c r="O65" s="68"/>
      <c r="P65" s="69">
        <f>41688680+46359940</f>
        <v>88048620</v>
      </c>
      <c r="Q65" s="104" t="s">
        <v>194</v>
      </c>
      <c r="R65" s="255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6" t="s">
        <v>23</v>
      </c>
      <c r="F66" s="64" t="s">
        <v>360</v>
      </c>
      <c r="G66" s="64" t="s">
        <v>361</v>
      </c>
      <c r="H66" s="64" t="s">
        <v>362</v>
      </c>
      <c r="I66" s="65" t="s">
        <v>363</v>
      </c>
      <c r="J66" s="66"/>
      <c r="K66" s="67"/>
      <c r="L66" s="65"/>
      <c r="M66" s="65"/>
      <c r="N66" s="64" t="s">
        <v>359</v>
      </c>
      <c r="O66" s="68"/>
      <c r="P66" s="69">
        <v>100000000</v>
      </c>
      <c r="Q66" s="114" t="s">
        <v>195</v>
      </c>
      <c r="R66" s="255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6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364</v>
      </c>
      <c r="O67" s="68"/>
      <c r="P67" s="69">
        <v>24156880</v>
      </c>
      <c r="Q67" s="104" t="s">
        <v>194</v>
      </c>
      <c r="R67" s="255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145</v>
      </c>
      <c r="D68" s="67">
        <v>42648</v>
      </c>
      <c r="E68" s="106" t="s">
        <v>23</v>
      </c>
      <c r="F68" s="64" t="s">
        <v>365</v>
      </c>
      <c r="G68" s="64" t="s">
        <v>367</v>
      </c>
      <c r="H68" s="64" t="s">
        <v>366</v>
      </c>
      <c r="I68" s="106" t="s">
        <v>10</v>
      </c>
      <c r="J68" s="66"/>
      <c r="K68" s="67"/>
      <c r="L68" s="65"/>
      <c r="M68" s="65"/>
      <c r="N68" s="64" t="s">
        <v>368</v>
      </c>
      <c r="O68" s="68"/>
      <c r="P68" s="69">
        <v>873400</v>
      </c>
      <c r="Q68" s="104" t="s">
        <v>194</v>
      </c>
      <c r="R68" s="255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241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233">
        <f t="shared" ref="B69:B78" si="3">IF(C69&lt;&gt;"",ROW()-3,"")</f>
        <v>66</v>
      </c>
      <c r="C69" s="233" t="s">
        <v>145</v>
      </c>
      <c r="D69" s="234">
        <v>42650</v>
      </c>
      <c r="E69" s="233" t="s">
        <v>23</v>
      </c>
      <c r="F69" s="236" t="s">
        <v>365</v>
      </c>
      <c r="G69" s="236" t="s">
        <v>367</v>
      </c>
      <c r="H69" s="236" t="s">
        <v>366</v>
      </c>
      <c r="I69" s="233" t="s">
        <v>10</v>
      </c>
      <c r="J69" s="237"/>
      <c r="K69" s="234"/>
      <c r="L69" s="235"/>
      <c r="M69" s="235"/>
      <c r="N69" s="236" t="s">
        <v>369</v>
      </c>
      <c r="O69" s="238"/>
      <c r="P69" s="239">
        <f>13197880-P68</f>
        <v>12324480</v>
      </c>
      <c r="Q69" s="240" t="s">
        <v>194</v>
      </c>
      <c r="R69" s="255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241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233">
        <f t="shared" si="3"/>
        <v>67</v>
      </c>
      <c r="C70" s="233" t="s">
        <v>145</v>
      </c>
      <c r="D70" s="234">
        <v>42650</v>
      </c>
      <c r="E70" s="233" t="s">
        <v>24</v>
      </c>
      <c r="F70" s="236" t="s">
        <v>370</v>
      </c>
      <c r="G70" s="236" t="s">
        <v>371</v>
      </c>
      <c r="H70" s="236" t="s">
        <v>372</v>
      </c>
      <c r="I70" s="233" t="s">
        <v>10</v>
      </c>
      <c r="J70" s="237"/>
      <c r="K70" s="234"/>
      <c r="L70" s="235"/>
      <c r="M70" s="235"/>
      <c r="N70" s="236" t="s">
        <v>373</v>
      </c>
      <c r="O70" s="238"/>
      <c r="P70" s="239">
        <f>51480000+51700000</f>
        <v>103180000</v>
      </c>
      <c r="Q70" s="240" t="s">
        <v>194</v>
      </c>
      <c r="R70" s="255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233" t="s">
        <v>145</v>
      </c>
      <c r="D71" s="234">
        <v>42650</v>
      </c>
      <c r="E71" s="233" t="s">
        <v>25</v>
      </c>
      <c r="F71" s="64" t="s">
        <v>360</v>
      </c>
      <c r="G71" s="64" t="s">
        <v>361</v>
      </c>
      <c r="H71" s="64" t="s">
        <v>362</v>
      </c>
      <c r="I71" s="65" t="s">
        <v>363</v>
      </c>
      <c r="J71" s="66"/>
      <c r="K71" s="67"/>
      <c r="L71" s="65"/>
      <c r="M71" s="65"/>
      <c r="N71" s="64" t="s">
        <v>359</v>
      </c>
      <c r="O71" s="68"/>
      <c r="P71" s="69">
        <v>98056855</v>
      </c>
      <c r="Q71" s="240" t="s">
        <v>194</v>
      </c>
      <c r="R71" s="255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233" t="s">
        <v>145</v>
      </c>
      <c r="D72" s="234">
        <v>42650</v>
      </c>
      <c r="E72" s="233" t="s">
        <v>26</v>
      </c>
      <c r="F72" s="236" t="s">
        <v>347</v>
      </c>
      <c r="G72" s="236" t="s">
        <v>348</v>
      </c>
      <c r="H72" s="236" t="s">
        <v>349</v>
      </c>
      <c r="I72" s="235" t="s">
        <v>10</v>
      </c>
      <c r="J72" s="237"/>
      <c r="K72" s="234"/>
      <c r="L72" s="235"/>
      <c r="M72" s="235"/>
      <c r="N72" s="236" t="s">
        <v>350</v>
      </c>
      <c r="O72" s="238"/>
      <c r="P72" s="239">
        <v>84566900</v>
      </c>
      <c r="Q72" s="240" t="s">
        <v>194</v>
      </c>
      <c r="R72" s="255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233" t="s">
        <v>145</v>
      </c>
      <c r="D73" s="234">
        <v>42650</v>
      </c>
      <c r="E73" s="233" t="s">
        <v>84</v>
      </c>
      <c r="F73" s="108" t="s">
        <v>143</v>
      </c>
      <c r="G73" s="108" t="s">
        <v>142</v>
      </c>
      <c r="H73" s="108" t="s">
        <v>141</v>
      </c>
      <c r="I73" s="106" t="s">
        <v>10</v>
      </c>
      <c r="J73" s="109"/>
      <c r="K73" s="110"/>
      <c r="L73" s="111"/>
      <c r="M73" s="111"/>
      <c r="N73" s="108" t="s">
        <v>144</v>
      </c>
      <c r="O73" s="112"/>
      <c r="P73" s="113">
        <v>37480000</v>
      </c>
      <c r="Q73" s="240" t="s">
        <v>194</v>
      </c>
      <c r="R73" s="255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233" t="s">
        <v>145</v>
      </c>
      <c r="D74" s="234">
        <v>42650</v>
      </c>
      <c r="E74" s="233" t="s">
        <v>85</v>
      </c>
      <c r="F74" s="108" t="s">
        <v>132</v>
      </c>
      <c r="G74" s="108" t="s">
        <v>329</v>
      </c>
      <c r="H74" s="108" t="s">
        <v>130</v>
      </c>
      <c r="I74" s="106" t="s">
        <v>10</v>
      </c>
      <c r="J74" s="66"/>
      <c r="K74" s="67"/>
      <c r="L74" s="65"/>
      <c r="M74" s="65"/>
      <c r="N74" s="64" t="s">
        <v>171</v>
      </c>
      <c r="O74" s="68">
        <v>94600</v>
      </c>
      <c r="P74" s="113"/>
      <c r="Q74" s="240" t="s">
        <v>194</v>
      </c>
      <c r="R74" s="255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233" t="s">
        <v>104</v>
      </c>
      <c r="D75" s="234">
        <v>42650</v>
      </c>
      <c r="E75" s="233" t="s">
        <v>23</v>
      </c>
      <c r="F75" s="64" t="s">
        <v>190</v>
      </c>
      <c r="G75" s="64" t="s">
        <v>196</v>
      </c>
      <c r="H75" s="64" t="s">
        <v>191</v>
      </c>
      <c r="I75" s="106" t="s">
        <v>10</v>
      </c>
      <c r="J75" s="66"/>
      <c r="K75" s="67"/>
      <c r="L75" s="65"/>
      <c r="M75" s="65"/>
      <c r="N75" s="64" t="s">
        <v>192</v>
      </c>
      <c r="O75" s="68"/>
      <c r="P75" s="69">
        <v>23500000</v>
      </c>
      <c r="Q75" s="114" t="s">
        <v>195</v>
      </c>
      <c r="R75" s="255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233" t="s">
        <v>104</v>
      </c>
      <c r="D76" s="234">
        <v>42650</v>
      </c>
      <c r="E76" s="233" t="s">
        <v>24</v>
      </c>
      <c r="F76" s="64" t="s">
        <v>212</v>
      </c>
      <c r="G76" s="64" t="s">
        <v>213</v>
      </c>
      <c r="H76" s="64" t="s">
        <v>214</v>
      </c>
      <c r="I76" s="111" t="s">
        <v>161</v>
      </c>
      <c r="J76" s="66"/>
      <c r="K76" s="67"/>
      <c r="L76" s="65"/>
      <c r="M76" s="65"/>
      <c r="N76" s="64" t="s">
        <v>215</v>
      </c>
      <c r="O76" s="68"/>
      <c r="P76" s="69">
        <v>200000000</v>
      </c>
      <c r="Q76" s="114" t="s">
        <v>195</v>
      </c>
      <c r="R76" s="255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233" t="s">
        <v>104</v>
      </c>
      <c r="D77" s="234">
        <v>42650</v>
      </c>
      <c r="E77" s="233" t="s">
        <v>25</v>
      </c>
      <c r="F77" s="64" t="s">
        <v>374</v>
      </c>
      <c r="G77" s="64" t="s">
        <v>375</v>
      </c>
      <c r="H77" s="64" t="s">
        <v>376</v>
      </c>
      <c r="I77" s="106" t="s">
        <v>10</v>
      </c>
      <c r="J77" s="66"/>
      <c r="K77" s="67"/>
      <c r="L77" s="65"/>
      <c r="M77" s="65"/>
      <c r="N77" s="64" t="s">
        <v>144</v>
      </c>
      <c r="O77" s="68"/>
      <c r="P77" s="69">
        <v>200000000</v>
      </c>
      <c r="Q77" s="114" t="s">
        <v>195</v>
      </c>
      <c r="R77" s="255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233" t="s">
        <v>104</v>
      </c>
      <c r="D78" s="234">
        <v>42650</v>
      </c>
      <c r="E78" s="233" t="s">
        <v>26</v>
      </c>
      <c r="F78" s="64" t="s">
        <v>377</v>
      </c>
      <c r="G78" s="64" t="s">
        <v>378</v>
      </c>
      <c r="H78" s="64" t="s">
        <v>379</v>
      </c>
      <c r="I78" s="106" t="s">
        <v>10</v>
      </c>
      <c r="J78" s="66"/>
      <c r="K78" s="67"/>
      <c r="L78" s="65"/>
      <c r="M78" s="65"/>
      <c r="N78" s="64" t="s">
        <v>380</v>
      </c>
      <c r="O78" s="68"/>
      <c r="P78" s="69">
        <v>199632000</v>
      </c>
      <c r="Q78" s="114" t="s">
        <v>195</v>
      </c>
      <c r="R78" s="255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233" t="s">
        <v>104</v>
      </c>
      <c r="D79" s="234">
        <v>42650</v>
      </c>
      <c r="E79" s="233" t="s">
        <v>84</v>
      </c>
      <c r="F79" s="64" t="s">
        <v>381</v>
      </c>
      <c r="G79" s="64" t="s">
        <v>382</v>
      </c>
      <c r="H79" s="64" t="s">
        <v>383</v>
      </c>
      <c r="I79" s="106" t="s">
        <v>10</v>
      </c>
      <c r="J79" s="66"/>
      <c r="K79" s="67"/>
      <c r="L79" s="65"/>
      <c r="M79" s="65"/>
      <c r="N79" s="64" t="s">
        <v>384</v>
      </c>
      <c r="O79" s="68"/>
      <c r="P79" s="69">
        <v>94100000</v>
      </c>
      <c r="Q79" s="114" t="s">
        <v>195</v>
      </c>
      <c r="R79" s="255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233" t="s">
        <v>104</v>
      </c>
      <c r="D80" s="234">
        <v>42650</v>
      </c>
      <c r="E80" s="233" t="s">
        <v>85</v>
      </c>
      <c r="F80" s="64" t="s">
        <v>385</v>
      </c>
      <c r="G80" s="64" t="s">
        <v>386</v>
      </c>
      <c r="H80" s="64" t="s">
        <v>387</v>
      </c>
      <c r="I80" s="111" t="s">
        <v>161</v>
      </c>
      <c r="J80" s="66"/>
      <c r="K80" s="67"/>
      <c r="L80" s="65"/>
      <c r="M80" s="65"/>
      <c r="N80" s="64" t="s">
        <v>388</v>
      </c>
      <c r="O80" s="68"/>
      <c r="P80" s="69">
        <v>25850000</v>
      </c>
      <c r="Q80" s="114" t="s">
        <v>195</v>
      </c>
      <c r="R80" s="255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233" t="s">
        <v>104</v>
      </c>
      <c r="D81" s="234">
        <v>42650</v>
      </c>
      <c r="E81" s="233" t="s">
        <v>172</v>
      </c>
      <c r="F81" s="64" t="s">
        <v>389</v>
      </c>
      <c r="G81" s="64" t="s">
        <v>390</v>
      </c>
      <c r="H81" s="64" t="s">
        <v>391</v>
      </c>
      <c r="I81" s="111" t="s">
        <v>161</v>
      </c>
      <c r="J81" s="66"/>
      <c r="K81" s="67"/>
      <c r="L81" s="65"/>
      <c r="M81" s="65"/>
      <c r="N81" s="64" t="s">
        <v>393</v>
      </c>
      <c r="O81" s="68"/>
      <c r="P81" s="69">
        <v>100000000</v>
      </c>
      <c r="Q81" s="114" t="s">
        <v>195</v>
      </c>
      <c r="R81" s="255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234">
        <v>42651</v>
      </c>
      <c r="E82" s="233" t="s">
        <v>23</v>
      </c>
      <c r="F82" s="108" t="s">
        <v>132</v>
      </c>
      <c r="G82" s="108" t="s">
        <v>131</v>
      </c>
      <c r="H82" s="108" t="s">
        <v>130</v>
      </c>
      <c r="I82" s="106" t="s">
        <v>10</v>
      </c>
      <c r="J82" s="109"/>
      <c r="K82" s="110"/>
      <c r="L82" s="111"/>
      <c r="M82" s="111"/>
      <c r="N82" s="108" t="s">
        <v>129</v>
      </c>
      <c r="O82" s="112">
        <v>94500</v>
      </c>
      <c r="P82" s="69"/>
      <c r="Q82" s="240" t="s">
        <v>194</v>
      </c>
      <c r="R82" s="255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233" t="s">
        <v>23</v>
      </c>
      <c r="F83" s="64" t="s">
        <v>385</v>
      </c>
      <c r="G83" s="64" t="s">
        <v>386</v>
      </c>
      <c r="H83" s="64" t="s">
        <v>387</v>
      </c>
      <c r="I83" s="111" t="s">
        <v>161</v>
      </c>
      <c r="J83" s="66"/>
      <c r="K83" s="67"/>
      <c r="L83" s="65"/>
      <c r="M83" s="65"/>
      <c r="N83" s="64" t="s">
        <v>388</v>
      </c>
      <c r="O83" s="68"/>
      <c r="P83" s="69">
        <v>49232000</v>
      </c>
      <c r="Q83" s="114" t="s">
        <v>195</v>
      </c>
      <c r="R83" s="255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145</v>
      </c>
      <c r="D84" s="67">
        <v>42653</v>
      </c>
      <c r="E84" s="233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392</v>
      </c>
      <c r="O84" s="68"/>
      <c r="P84" s="69">
        <v>21023640</v>
      </c>
      <c r="Q84" s="240" t="s">
        <v>194</v>
      </c>
      <c r="R84" s="255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145</v>
      </c>
      <c r="D85" s="67">
        <v>42662</v>
      </c>
      <c r="E85" s="233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394</v>
      </c>
      <c r="O85" s="68"/>
      <c r="P85" s="69">
        <v>16302356</v>
      </c>
      <c r="Q85" s="240" t="s">
        <v>194</v>
      </c>
      <c r="R85" s="255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145</v>
      </c>
      <c r="D86" s="67">
        <v>42662</v>
      </c>
      <c r="E86" s="233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395</v>
      </c>
      <c r="O86" s="68"/>
      <c r="P86" s="69">
        <v>20797260</v>
      </c>
      <c r="Q86" s="240" t="s">
        <v>194</v>
      </c>
      <c r="R86" s="255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145</v>
      </c>
      <c r="D87" s="67">
        <v>42662</v>
      </c>
      <c r="E87" s="233" t="s">
        <v>25</v>
      </c>
      <c r="F87" s="64" t="s">
        <v>174</v>
      </c>
      <c r="G87" s="71" t="s">
        <v>175</v>
      </c>
      <c r="H87" s="64" t="s">
        <v>176</v>
      </c>
      <c r="I87" s="106" t="s">
        <v>10</v>
      </c>
      <c r="J87" s="66"/>
      <c r="K87" s="67"/>
      <c r="L87" s="65"/>
      <c r="M87" s="65"/>
      <c r="N87" s="64" t="s">
        <v>177</v>
      </c>
      <c r="O87" s="68"/>
      <c r="P87" s="69">
        <v>100000000</v>
      </c>
      <c r="Q87" s="240" t="s">
        <v>194</v>
      </c>
      <c r="R87" s="255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145</v>
      </c>
      <c r="D88" s="67">
        <v>42662</v>
      </c>
      <c r="E88" s="233" t="s">
        <v>26</v>
      </c>
      <c r="F88" s="108" t="s">
        <v>133</v>
      </c>
      <c r="G88" s="108" t="s">
        <v>134</v>
      </c>
      <c r="H88" s="108" t="s">
        <v>130</v>
      </c>
      <c r="I88" s="106" t="s">
        <v>10</v>
      </c>
      <c r="J88" s="66"/>
      <c r="K88" s="67"/>
      <c r="L88" s="65"/>
      <c r="M88" s="65"/>
      <c r="N88" s="108" t="s">
        <v>135</v>
      </c>
      <c r="O88" s="68"/>
      <c r="P88" s="69">
        <v>42930000</v>
      </c>
      <c r="Q88" s="240" t="s">
        <v>194</v>
      </c>
      <c r="R88" s="255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233" t="s">
        <v>23</v>
      </c>
      <c r="F89" s="64" t="s">
        <v>396</v>
      </c>
      <c r="G89" s="64" t="s">
        <v>397</v>
      </c>
      <c r="H89" s="64" t="s">
        <v>399</v>
      </c>
      <c r="I89" s="106" t="s">
        <v>10</v>
      </c>
      <c r="J89" s="66"/>
      <c r="K89" s="67"/>
      <c r="L89" s="65"/>
      <c r="M89" s="65"/>
      <c r="N89" s="64" t="s">
        <v>398</v>
      </c>
      <c r="O89" s="68"/>
      <c r="P89" s="69">
        <v>42930000</v>
      </c>
      <c r="Q89" s="240" t="s">
        <v>194</v>
      </c>
      <c r="R89" s="255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233" t="s">
        <v>23</v>
      </c>
      <c r="F90" s="108" t="s">
        <v>132</v>
      </c>
      <c r="G90" s="108" t="s">
        <v>131</v>
      </c>
      <c r="H90" s="108" t="s">
        <v>130</v>
      </c>
      <c r="I90" s="106" t="s">
        <v>10</v>
      </c>
      <c r="J90" s="109"/>
      <c r="K90" s="110"/>
      <c r="L90" s="111"/>
      <c r="M90" s="111"/>
      <c r="N90" s="108" t="s">
        <v>129</v>
      </c>
      <c r="O90" s="112">
        <v>2300</v>
      </c>
      <c r="P90" s="69"/>
      <c r="Q90" s="240" t="s">
        <v>194</v>
      </c>
      <c r="R90" s="255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233" t="s">
        <v>24</v>
      </c>
      <c r="F91" s="108" t="s">
        <v>216</v>
      </c>
      <c r="G91" s="64" t="s">
        <v>217</v>
      </c>
      <c r="H91" s="64" t="s">
        <v>218</v>
      </c>
      <c r="I91" s="62" t="s">
        <v>10</v>
      </c>
      <c r="J91" s="66"/>
      <c r="K91" s="67"/>
      <c r="L91" s="65"/>
      <c r="M91" s="65"/>
      <c r="N91" s="64" t="s">
        <v>219</v>
      </c>
      <c r="O91" s="68"/>
      <c r="P91" s="69">
        <v>19200000</v>
      </c>
      <c r="Q91" s="240" t="s">
        <v>194</v>
      </c>
      <c r="R91" s="255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233" t="s">
        <v>25</v>
      </c>
      <c r="F92" s="64" t="s">
        <v>400</v>
      </c>
      <c r="G92" s="64" t="s">
        <v>401</v>
      </c>
      <c r="H92" s="64" t="s">
        <v>402</v>
      </c>
      <c r="I92" s="62" t="s">
        <v>10</v>
      </c>
      <c r="J92" s="66"/>
      <c r="K92" s="67"/>
      <c r="L92" s="65"/>
      <c r="M92" s="65"/>
      <c r="N92" s="64" t="s">
        <v>403</v>
      </c>
      <c r="O92" s="68"/>
      <c r="P92" s="69">
        <v>10803694</v>
      </c>
      <c r="Q92" s="240" t="s">
        <v>194</v>
      </c>
      <c r="R92" s="255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233" t="s">
        <v>23</v>
      </c>
      <c r="F93" s="108" t="s">
        <v>132</v>
      </c>
      <c r="G93" s="108" t="s">
        <v>131</v>
      </c>
      <c r="H93" s="108" t="s">
        <v>130</v>
      </c>
      <c r="I93" s="106" t="s">
        <v>10</v>
      </c>
      <c r="J93" s="109"/>
      <c r="K93" s="110"/>
      <c r="L93" s="65"/>
      <c r="M93" s="65"/>
      <c r="N93" s="64" t="s">
        <v>165</v>
      </c>
      <c r="O93" s="68"/>
      <c r="P93" s="69">
        <v>9000000</v>
      </c>
      <c r="Q93" s="240" t="s">
        <v>194</v>
      </c>
      <c r="R93" s="255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233" t="s">
        <v>24</v>
      </c>
      <c r="F94" s="108" t="s">
        <v>133</v>
      </c>
      <c r="G94" s="108" t="s">
        <v>134</v>
      </c>
      <c r="H94" s="108" t="s">
        <v>130</v>
      </c>
      <c r="I94" s="106" t="s">
        <v>10</v>
      </c>
      <c r="J94" s="66"/>
      <c r="K94" s="67"/>
      <c r="L94" s="65"/>
      <c r="M94" s="65"/>
      <c r="N94" s="108" t="s">
        <v>135</v>
      </c>
      <c r="O94" s="68"/>
      <c r="P94" s="69">
        <v>25000000</v>
      </c>
      <c r="Q94" s="240" t="s">
        <v>194</v>
      </c>
      <c r="R94" s="255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233" t="s">
        <v>23</v>
      </c>
      <c r="F95" s="64" t="s">
        <v>167</v>
      </c>
      <c r="G95" s="64" t="s">
        <v>203</v>
      </c>
      <c r="H95" s="64" t="s">
        <v>168</v>
      </c>
      <c r="I95" s="111" t="s">
        <v>161</v>
      </c>
      <c r="J95" s="66"/>
      <c r="K95" s="67"/>
      <c r="L95" s="65"/>
      <c r="M95" s="65"/>
      <c r="N95" s="116" t="s">
        <v>405</v>
      </c>
      <c r="O95" s="68"/>
      <c r="P95" s="69">
        <f>42659320+37594590</f>
        <v>80253910</v>
      </c>
      <c r="Q95" s="240" t="s">
        <v>194</v>
      </c>
      <c r="R95" s="255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145</v>
      </c>
      <c r="D96" s="67">
        <v>42675</v>
      </c>
      <c r="E96" s="233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404</v>
      </c>
      <c r="O96" s="68"/>
      <c r="P96" s="69">
        <v>24338820</v>
      </c>
      <c r="Q96" s="240" t="s">
        <v>194</v>
      </c>
      <c r="R96" s="255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145</v>
      </c>
      <c r="D97" s="67">
        <v>42675</v>
      </c>
      <c r="E97" s="233" t="s">
        <v>25</v>
      </c>
      <c r="F97" s="108" t="s">
        <v>132</v>
      </c>
      <c r="G97" s="108" t="s">
        <v>406</v>
      </c>
      <c r="H97" s="108" t="s">
        <v>208</v>
      </c>
      <c r="I97" s="106" t="s">
        <v>10</v>
      </c>
      <c r="J97" s="66"/>
      <c r="K97" s="67"/>
      <c r="L97" s="65"/>
      <c r="M97" s="65"/>
      <c r="N97" s="64" t="s">
        <v>171</v>
      </c>
      <c r="O97" s="68">
        <v>87500</v>
      </c>
      <c r="P97" s="69"/>
      <c r="Q97" s="240" t="s">
        <v>194</v>
      </c>
      <c r="R97" s="255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233" t="s">
        <v>26</v>
      </c>
      <c r="F98" s="108" t="s">
        <v>132</v>
      </c>
      <c r="G98" s="64" t="s">
        <v>211</v>
      </c>
      <c r="H98" s="64" t="s">
        <v>208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240" t="s">
        <v>194</v>
      </c>
      <c r="R98" s="255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233" t="s">
        <v>23</v>
      </c>
      <c r="F99" s="236" t="s">
        <v>370</v>
      </c>
      <c r="G99" s="236" t="s">
        <v>371</v>
      </c>
      <c r="H99" s="236" t="s">
        <v>372</v>
      </c>
      <c r="I99" s="233" t="s">
        <v>10</v>
      </c>
      <c r="J99" s="237"/>
      <c r="K99" s="234"/>
      <c r="L99" s="235"/>
      <c r="M99" s="235"/>
      <c r="N99" s="236" t="s">
        <v>373</v>
      </c>
      <c r="O99" s="238"/>
      <c r="P99" s="69">
        <f>51480000*2</f>
        <v>102960000</v>
      </c>
      <c r="Q99" s="240" t="s">
        <v>194</v>
      </c>
      <c r="R99" s="255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233" t="s">
        <v>24</v>
      </c>
      <c r="F100" s="108" t="s">
        <v>133</v>
      </c>
      <c r="G100" s="108" t="s">
        <v>134</v>
      </c>
      <c r="H100" s="108" t="s">
        <v>130</v>
      </c>
      <c r="I100" s="106" t="s">
        <v>10</v>
      </c>
      <c r="J100" s="66"/>
      <c r="K100" s="67"/>
      <c r="L100" s="65"/>
      <c r="M100" s="65"/>
      <c r="N100" s="108" t="s">
        <v>135</v>
      </c>
      <c r="O100" s="68"/>
      <c r="P100" s="69">
        <v>38000000</v>
      </c>
      <c r="Q100" s="240" t="s">
        <v>194</v>
      </c>
      <c r="R100" s="255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233" t="s">
        <v>25</v>
      </c>
      <c r="F101" s="64" t="s">
        <v>227</v>
      </c>
      <c r="G101" s="64" t="s">
        <v>228</v>
      </c>
      <c r="H101" s="64" t="s">
        <v>229</v>
      </c>
      <c r="I101" s="111" t="s">
        <v>161</v>
      </c>
      <c r="J101" s="66"/>
      <c r="K101" s="67"/>
      <c r="L101" s="65"/>
      <c r="M101" s="65"/>
      <c r="N101" s="64" t="s">
        <v>230</v>
      </c>
      <c r="O101" s="68"/>
      <c r="P101" s="69">
        <v>27760761</v>
      </c>
      <c r="Q101" s="240" t="s">
        <v>194</v>
      </c>
      <c r="R101" s="255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233" t="s">
        <v>26</v>
      </c>
      <c r="F102" s="64" t="s">
        <v>407</v>
      </c>
      <c r="G102" s="64" t="s">
        <v>408</v>
      </c>
      <c r="H102" s="64" t="s">
        <v>409</v>
      </c>
      <c r="I102" s="111" t="s">
        <v>161</v>
      </c>
      <c r="J102" s="66"/>
      <c r="K102" s="67"/>
      <c r="L102" s="65"/>
      <c r="M102" s="65"/>
      <c r="N102" s="64" t="s">
        <v>410</v>
      </c>
      <c r="O102" s="68"/>
      <c r="P102" s="69">
        <v>10035666</v>
      </c>
      <c r="Q102" s="240" t="s">
        <v>194</v>
      </c>
      <c r="R102" s="255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233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240" t="s">
        <v>194</v>
      </c>
      <c r="R103" s="255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ht="18.75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82</v>
      </c>
      <c r="D104" s="67">
        <v>42676</v>
      </c>
      <c r="E104" s="233" t="s">
        <v>85</v>
      </c>
      <c r="F104" s="64" t="s">
        <v>190</v>
      </c>
      <c r="G104" s="64" t="s">
        <v>196</v>
      </c>
      <c r="H104" s="64" t="s">
        <v>191</v>
      </c>
      <c r="I104" s="106" t="s">
        <v>10</v>
      </c>
      <c r="J104" s="66"/>
      <c r="K104" s="67"/>
      <c r="L104" s="65"/>
      <c r="M104" s="65"/>
      <c r="N104" s="64" t="s">
        <v>192</v>
      </c>
      <c r="O104" s="68"/>
      <c r="P104" s="69">
        <v>58750000</v>
      </c>
      <c r="Q104" s="240" t="s">
        <v>194</v>
      </c>
      <c r="R104" s="255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233" t="s">
        <v>172</v>
      </c>
      <c r="F105" s="64" t="s">
        <v>360</v>
      </c>
      <c r="G105" s="64" t="s">
        <v>361</v>
      </c>
      <c r="H105" s="64" t="s">
        <v>362</v>
      </c>
      <c r="I105" s="65" t="s">
        <v>363</v>
      </c>
      <c r="J105" s="66"/>
      <c r="K105" s="67"/>
      <c r="L105" s="65"/>
      <c r="M105" s="65"/>
      <c r="N105" s="64" t="s">
        <v>359</v>
      </c>
      <c r="O105" s="68"/>
      <c r="P105" s="69">
        <v>100000000</v>
      </c>
      <c r="Q105" s="240" t="s">
        <v>194</v>
      </c>
      <c r="R105" s="255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233" t="s">
        <v>222</v>
      </c>
      <c r="F106" s="64" t="s">
        <v>411</v>
      </c>
      <c r="G106" s="64" t="s">
        <v>412</v>
      </c>
      <c r="H106" s="64" t="s">
        <v>413</v>
      </c>
      <c r="I106" s="106" t="s">
        <v>10</v>
      </c>
      <c r="J106" s="66"/>
      <c r="K106" s="67"/>
      <c r="L106" s="65"/>
      <c r="M106" s="65"/>
      <c r="N106" s="64" t="s">
        <v>414</v>
      </c>
      <c r="O106" s="68"/>
      <c r="P106" s="69">
        <v>29656000</v>
      </c>
      <c r="Q106" s="240" t="s">
        <v>194</v>
      </c>
      <c r="R106" s="255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145</v>
      </c>
      <c r="D107" s="67">
        <v>42689</v>
      </c>
      <c r="E107" s="233" t="s">
        <v>23</v>
      </c>
      <c r="F107" s="108" t="s">
        <v>132</v>
      </c>
      <c r="G107" s="108" t="s">
        <v>406</v>
      </c>
      <c r="H107" s="108" t="s">
        <v>208</v>
      </c>
      <c r="I107" s="106" t="s">
        <v>10</v>
      </c>
      <c r="J107" s="66"/>
      <c r="K107" s="67"/>
      <c r="L107" s="65"/>
      <c r="M107" s="65"/>
      <c r="N107" s="64" t="s">
        <v>171</v>
      </c>
      <c r="O107" s="68">
        <v>4400</v>
      </c>
      <c r="P107" s="69"/>
      <c r="Q107" s="240" t="s">
        <v>194</v>
      </c>
      <c r="R107" s="255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233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415</v>
      </c>
      <c r="O108" s="68"/>
      <c r="P108" s="69">
        <v>22634810</v>
      </c>
      <c r="Q108" s="240" t="s">
        <v>194</v>
      </c>
      <c r="R108" s="255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233" t="s">
        <v>25</v>
      </c>
      <c r="F109" s="64" t="s">
        <v>396</v>
      </c>
      <c r="G109" s="64" t="s">
        <v>397</v>
      </c>
      <c r="H109" s="64" t="s">
        <v>399</v>
      </c>
      <c r="I109" s="106" t="s">
        <v>10</v>
      </c>
      <c r="J109" s="66"/>
      <c r="K109" s="67"/>
      <c r="L109" s="65"/>
      <c r="M109" s="65"/>
      <c r="N109" s="64" t="s">
        <v>416</v>
      </c>
      <c r="O109" s="68"/>
      <c r="P109" s="69">
        <v>100000000</v>
      </c>
      <c r="Q109" s="240" t="s">
        <v>194</v>
      </c>
      <c r="R109" s="255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145</v>
      </c>
      <c r="D110" s="67">
        <v>42697</v>
      </c>
      <c r="E110" s="233" t="s">
        <v>23</v>
      </c>
      <c r="F110" s="64" t="s">
        <v>423</v>
      </c>
      <c r="G110" s="64" t="s">
        <v>424</v>
      </c>
      <c r="H110" s="64" t="s">
        <v>425</v>
      </c>
      <c r="I110" s="65" t="s">
        <v>426</v>
      </c>
      <c r="J110" s="66"/>
      <c r="K110" s="67"/>
      <c r="L110" s="65"/>
      <c r="M110" s="65"/>
      <c r="N110" s="64" t="s">
        <v>427</v>
      </c>
      <c r="O110" s="68"/>
      <c r="P110" s="69">
        <v>4394000000</v>
      </c>
      <c r="Q110" s="240" t="s">
        <v>194</v>
      </c>
      <c r="R110" s="255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145</v>
      </c>
      <c r="D111" s="67">
        <v>42697</v>
      </c>
      <c r="E111" s="233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428</v>
      </c>
      <c r="O111" s="68"/>
      <c r="P111" s="69">
        <v>31233070</v>
      </c>
      <c r="Q111" s="240" t="s">
        <v>194</v>
      </c>
      <c r="R111" s="255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145</v>
      </c>
      <c r="D112" s="67">
        <v>42697</v>
      </c>
      <c r="E112" s="233" t="s">
        <v>25</v>
      </c>
      <c r="F112" s="108" t="s">
        <v>133</v>
      </c>
      <c r="G112" s="108" t="s">
        <v>134</v>
      </c>
      <c r="H112" s="108" t="s">
        <v>130</v>
      </c>
      <c r="I112" s="106" t="s">
        <v>10</v>
      </c>
      <c r="J112" s="66"/>
      <c r="K112" s="67"/>
      <c r="L112" s="65"/>
      <c r="M112" s="65"/>
      <c r="N112" s="108" t="s">
        <v>427</v>
      </c>
      <c r="O112" s="68"/>
      <c r="P112" s="69">
        <v>2250000000</v>
      </c>
      <c r="Q112" s="240" t="s">
        <v>194</v>
      </c>
      <c r="R112" s="255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233" t="s">
        <v>23</v>
      </c>
      <c r="F113" s="108" t="s">
        <v>132</v>
      </c>
      <c r="G113" s="108" t="s">
        <v>131</v>
      </c>
      <c r="H113" s="108" t="s">
        <v>130</v>
      </c>
      <c r="I113" s="106" t="s">
        <v>10</v>
      </c>
      <c r="J113" s="109"/>
      <c r="K113" s="67"/>
      <c r="L113" s="65"/>
      <c r="M113" s="65"/>
      <c r="N113" s="64" t="s">
        <v>129</v>
      </c>
      <c r="O113" s="68">
        <v>4600</v>
      </c>
      <c r="P113" s="69"/>
      <c r="Q113" s="240" t="s">
        <v>194</v>
      </c>
      <c r="R113" s="255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233" t="s">
        <v>24</v>
      </c>
      <c r="F114" s="64" t="s">
        <v>91</v>
      </c>
      <c r="G114" s="64" t="s">
        <v>92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240" t="s">
        <v>194</v>
      </c>
      <c r="R114" s="255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233" t="s">
        <v>25</v>
      </c>
      <c r="F115" s="64" t="s">
        <v>178</v>
      </c>
      <c r="G115" s="71" t="s">
        <v>179</v>
      </c>
      <c r="H115" s="64" t="s">
        <v>180</v>
      </c>
      <c r="I115" s="106" t="s">
        <v>10</v>
      </c>
      <c r="J115" s="66"/>
      <c r="K115" s="67"/>
      <c r="L115" s="65"/>
      <c r="M115" s="65"/>
      <c r="N115" s="64" t="s">
        <v>429</v>
      </c>
      <c r="O115" s="68"/>
      <c r="P115" s="69">
        <v>810000</v>
      </c>
      <c r="Q115" s="240" t="s">
        <v>194</v>
      </c>
      <c r="R115" s="255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233" t="s">
        <v>26</v>
      </c>
      <c r="F116" s="64" t="s">
        <v>178</v>
      </c>
      <c r="G116" s="71" t="s">
        <v>181</v>
      </c>
      <c r="H116" s="64" t="s">
        <v>182</v>
      </c>
      <c r="I116" s="106" t="s">
        <v>10</v>
      </c>
      <c r="J116" s="66"/>
      <c r="K116" s="67"/>
      <c r="L116" s="65"/>
      <c r="M116" s="65"/>
      <c r="N116" s="64" t="s">
        <v>429</v>
      </c>
      <c r="O116" s="68"/>
      <c r="P116" s="69">
        <v>2230000</v>
      </c>
      <c r="Q116" s="240" t="s">
        <v>194</v>
      </c>
      <c r="R116" s="255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145</v>
      </c>
      <c r="D117" s="67">
        <v>42699</v>
      </c>
      <c r="E117" s="233" t="s">
        <v>23</v>
      </c>
      <c r="F117" s="64" t="s">
        <v>430</v>
      </c>
      <c r="G117" s="64" t="s">
        <v>431</v>
      </c>
      <c r="H117" s="64" t="s">
        <v>425</v>
      </c>
      <c r="I117" s="65" t="s">
        <v>426</v>
      </c>
      <c r="J117" s="66"/>
      <c r="K117" s="67"/>
      <c r="L117" s="65"/>
      <c r="M117" s="65"/>
      <c r="N117" s="108" t="s">
        <v>427</v>
      </c>
      <c r="O117" s="68"/>
      <c r="P117" s="69">
        <v>1441167000</v>
      </c>
      <c r="Q117" s="240" t="s">
        <v>194</v>
      </c>
      <c r="R117" s="255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28" si="7">IF(C118&lt;&gt;"",ROW()-3,"")</f>
        <v>115</v>
      </c>
      <c r="C118" s="62" t="s">
        <v>145</v>
      </c>
      <c r="D118" s="67">
        <v>42699</v>
      </c>
      <c r="E118" s="233" t="s">
        <v>24</v>
      </c>
      <c r="F118" s="108" t="s">
        <v>133</v>
      </c>
      <c r="G118" s="108" t="s">
        <v>134</v>
      </c>
      <c r="H118" s="108" t="s">
        <v>130</v>
      </c>
      <c r="I118" s="106" t="s">
        <v>10</v>
      </c>
      <c r="J118" s="66"/>
      <c r="K118" s="67"/>
      <c r="L118" s="65"/>
      <c r="M118" s="65"/>
      <c r="N118" s="108" t="s">
        <v>427</v>
      </c>
      <c r="O118" s="68"/>
      <c r="P118" s="69">
        <v>1319000000</v>
      </c>
      <c r="Q118" s="104" t="s">
        <v>195</v>
      </c>
      <c r="R118" s="255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145</v>
      </c>
      <c r="D119" s="67">
        <v>42699</v>
      </c>
      <c r="E119" s="233" t="s">
        <v>25</v>
      </c>
      <c r="F119" s="64" t="s">
        <v>432</v>
      </c>
      <c r="G119" s="64" t="s">
        <v>433</v>
      </c>
      <c r="H119" s="64" t="s">
        <v>436</v>
      </c>
      <c r="I119" s="65" t="s">
        <v>434</v>
      </c>
      <c r="J119" s="66"/>
      <c r="K119" s="67"/>
      <c r="L119" s="65"/>
      <c r="M119" s="65"/>
      <c r="N119" s="108" t="s">
        <v>427</v>
      </c>
      <c r="O119" s="68"/>
      <c r="P119" s="69">
        <v>541450000</v>
      </c>
      <c r="Q119" s="104" t="s">
        <v>195</v>
      </c>
      <c r="R119" s="255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145</v>
      </c>
      <c r="D120" s="67">
        <v>42703</v>
      </c>
      <c r="E120" s="233" t="s">
        <v>23</v>
      </c>
      <c r="F120" s="64" t="s">
        <v>178</v>
      </c>
      <c r="G120" s="71" t="s">
        <v>181</v>
      </c>
      <c r="H120" s="64" t="s">
        <v>182</v>
      </c>
      <c r="I120" s="106" t="s">
        <v>10</v>
      </c>
      <c r="J120" s="66"/>
      <c r="K120" s="67"/>
      <c r="L120" s="65"/>
      <c r="M120" s="65"/>
      <c r="N120" s="64" t="s">
        <v>435</v>
      </c>
      <c r="O120" s="68"/>
      <c r="P120" s="69">
        <v>3555000</v>
      </c>
      <c r="Q120" s="104" t="s">
        <v>195</v>
      </c>
      <c r="R120" s="255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145</v>
      </c>
      <c r="D121" s="67">
        <v>42703</v>
      </c>
      <c r="E121" s="233" t="s">
        <v>24</v>
      </c>
      <c r="F121" s="64" t="s">
        <v>430</v>
      </c>
      <c r="G121" s="64" t="s">
        <v>431</v>
      </c>
      <c r="H121" s="64" t="s">
        <v>425</v>
      </c>
      <c r="I121" s="65" t="s">
        <v>426</v>
      </c>
      <c r="J121" s="66"/>
      <c r="K121" s="67"/>
      <c r="L121" s="65"/>
      <c r="M121" s="65"/>
      <c r="N121" s="108" t="s">
        <v>427</v>
      </c>
      <c r="O121" s="68"/>
      <c r="P121" s="69">
        <v>1508000000</v>
      </c>
      <c r="Q121" s="104" t="s">
        <v>195</v>
      </c>
      <c r="R121" s="255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145</v>
      </c>
      <c r="D122" s="67">
        <v>42703</v>
      </c>
      <c r="E122" s="233" t="s">
        <v>25</v>
      </c>
      <c r="F122" s="64" t="s">
        <v>423</v>
      </c>
      <c r="G122" s="64" t="s">
        <v>424</v>
      </c>
      <c r="H122" s="64" t="s">
        <v>425</v>
      </c>
      <c r="I122" s="65" t="s">
        <v>426</v>
      </c>
      <c r="J122" s="66"/>
      <c r="K122" s="67"/>
      <c r="L122" s="65"/>
      <c r="M122" s="65"/>
      <c r="N122" s="64" t="s">
        <v>427</v>
      </c>
      <c r="O122" s="68"/>
      <c r="P122" s="69">
        <v>1674100000</v>
      </c>
      <c r="Q122" s="104" t="s">
        <v>195</v>
      </c>
      <c r="R122" s="255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145</v>
      </c>
      <c r="D123" s="67">
        <v>42703</v>
      </c>
      <c r="E123" s="233" t="s">
        <v>26</v>
      </c>
      <c r="F123" s="108" t="s">
        <v>133</v>
      </c>
      <c r="G123" s="108" t="s">
        <v>134</v>
      </c>
      <c r="H123" s="108" t="s">
        <v>130</v>
      </c>
      <c r="I123" s="106" t="s">
        <v>10</v>
      </c>
      <c r="J123" s="66"/>
      <c r="K123" s="67"/>
      <c r="L123" s="65"/>
      <c r="M123" s="65"/>
      <c r="N123" s="64" t="s">
        <v>427</v>
      </c>
      <c r="O123" s="68"/>
      <c r="P123" s="69">
        <v>100000000</v>
      </c>
      <c r="Q123" s="104" t="s">
        <v>195</v>
      </c>
      <c r="R123" s="255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233" t="s">
        <v>84</v>
      </c>
      <c r="F124" s="64" t="s">
        <v>167</v>
      </c>
      <c r="G124" s="64" t="s">
        <v>203</v>
      </c>
      <c r="H124" s="64" t="s">
        <v>168</v>
      </c>
      <c r="I124" s="111" t="s">
        <v>161</v>
      </c>
      <c r="J124" s="66"/>
      <c r="K124" s="67"/>
      <c r="L124" s="65"/>
      <c r="M124" s="65"/>
      <c r="N124" s="116" t="s">
        <v>437</v>
      </c>
      <c r="O124" s="68"/>
      <c r="P124" s="69">
        <f>46868580+47089900</f>
        <v>93958480</v>
      </c>
      <c r="Q124" s="104" t="s">
        <v>195</v>
      </c>
      <c r="R124" s="255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233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438</v>
      </c>
      <c r="O125" s="68"/>
      <c r="P125" s="69">
        <v>34187120</v>
      </c>
      <c r="Q125" s="104"/>
      <c r="R125" s="255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145</v>
      </c>
      <c r="D126" s="67">
        <v>42704</v>
      </c>
      <c r="E126" s="233" t="s">
        <v>24</v>
      </c>
      <c r="F126" s="108" t="s">
        <v>132</v>
      </c>
      <c r="G126" s="108" t="s">
        <v>131</v>
      </c>
      <c r="H126" s="108" t="s">
        <v>130</v>
      </c>
      <c r="I126" s="106" t="s">
        <v>10</v>
      </c>
      <c r="J126" s="109"/>
      <c r="K126" s="110"/>
      <c r="L126" s="111"/>
      <c r="M126" s="65"/>
      <c r="N126" s="64" t="s">
        <v>165</v>
      </c>
      <c r="O126" s="68"/>
      <c r="P126" s="69">
        <v>20000000</v>
      </c>
      <c r="Q126" s="104"/>
      <c r="R126" s="255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145</v>
      </c>
      <c r="D127" s="67">
        <v>42709</v>
      </c>
      <c r="E127" s="233" t="s">
        <v>23</v>
      </c>
      <c r="F127" s="108" t="s">
        <v>132</v>
      </c>
      <c r="G127" s="108" t="s">
        <v>329</v>
      </c>
      <c r="H127" s="108" t="s">
        <v>130</v>
      </c>
      <c r="I127" s="106" t="s">
        <v>10</v>
      </c>
      <c r="J127" s="66"/>
      <c r="K127" s="67"/>
      <c r="L127" s="65"/>
      <c r="M127" s="65"/>
      <c r="N127" s="64" t="s">
        <v>171</v>
      </c>
      <c r="O127" s="68">
        <v>95500</v>
      </c>
      <c r="P127" s="69"/>
      <c r="Q127" s="104"/>
      <c r="R127" s="255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 t="shared" si="7"/>
        <v>125</v>
      </c>
      <c r="C128" s="62" t="s">
        <v>104</v>
      </c>
      <c r="D128" s="67"/>
      <c r="E128" s="233" t="s">
        <v>24</v>
      </c>
      <c r="F128" s="64" t="s">
        <v>439</v>
      </c>
      <c r="G128" s="64" t="s">
        <v>441</v>
      </c>
      <c r="H128" s="64" t="s">
        <v>442</v>
      </c>
      <c r="I128" s="65" t="s">
        <v>443</v>
      </c>
      <c r="J128" s="66"/>
      <c r="K128" s="67"/>
      <c r="L128" s="65"/>
      <c r="M128" s="65"/>
      <c r="N128" s="64" t="s">
        <v>444</v>
      </c>
      <c r="O128" s="68"/>
      <c r="P128" s="69">
        <v>7533000</v>
      </c>
      <c r="Q128" s="104"/>
      <c r="R128" s="255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 t="shared" si="0"/>
        <v>126</v>
      </c>
      <c r="C129" s="62" t="s">
        <v>104</v>
      </c>
      <c r="D129" s="67"/>
      <c r="E129" s="233" t="s">
        <v>25</v>
      </c>
      <c r="F129" s="64" t="s">
        <v>440</v>
      </c>
      <c r="G129" s="64" t="s">
        <v>445</v>
      </c>
      <c r="H129" s="64" t="s">
        <v>446</v>
      </c>
      <c r="I129" s="65" t="s">
        <v>443</v>
      </c>
      <c r="J129" s="66"/>
      <c r="K129" s="67"/>
      <c r="L129" s="65"/>
      <c r="M129" s="65"/>
      <c r="N129" s="64" t="s">
        <v>447</v>
      </c>
      <c r="O129" s="68"/>
      <c r="P129" s="69">
        <v>9005000</v>
      </c>
      <c r="Q129" s="104"/>
      <c r="R129" s="255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 t="shared" si="0"/>
        <v>127</v>
      </c>
      <c r="C130" s="62" t="s">
        <v>145</v>
      </c>
      <c r="D130" s="67">
        <v>42710</v>
      </c>
      <c r="E130" s="233" t="s">
        <v>23</v>
      </c>
      <c r="F130" s="64" t="s">
        <v>423</v>
      </c>
      <c r="G130" s="64" t="s">
        <v>424</v>
      </c>
      <c r="H130" s="64" t="s">
        <v>425</v>
      </c>
      <c r="I130" s="65" t="s">
        <v>426</v>
      </c>
      <c r="J130" s="66"/>
      <c r="K130" s="67"/>
      <c r="L130" s="65"/>
      <c r="M130" s="65"/>
      <c r="N130" s="64" t="s">
        <v>427</v>
      </c>
      <c r="O130" s="68"/>
      <c r="P130" s="69">
        <v>2918780500</v>
      </c>
      <c r="Q130" s="104"/>
      <c r="R130" s="255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>p</v>
      </c>
    </row>
    <row r="131" spans="1:18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>x1</v>
      </c>
      <c r="B131" s="62">
        <f t="shared" si="0"/>
        <v>128</v>
      </c>
      <c r="C131" s="62" t="s">
        <v>82</v>
      </c>
      <c r="D131" s="67">
        <v>42710</v>
      </c>
      <c r="E131" s="233" t="s">
        <v>24</v>
      </c>
      <c r="F131" s="64" t="s">
        <v>430</v>
      </c>
      <c r="G131" s="64" t="s">
        <v>431</v>
      </c>
      <c r="H131" s="64" t="s">
        <v>425</v>
      </c>
      <c r="I131" s="65" t="s">
        <v>426</v>
      </c>
      <c r="J131" s="66"/>
      <c r="K131" s="67"/>
      <c r="L131" s="65"/>
      <c r="M131" s="65"/>
      <c r="N131" s="108" t="s">
        <v>427</v>
      </c>
      <c r="O131" s="68"/>
      <c r="P131" s="69">
        <v>1824920500</v>
      </c>
      <c r="Q131" s="104"/>
      <c r="R131" s="255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>e</v>
      </c>
    </row>
    <row r="132" spans="1:18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>x</v>
      </c>
      <c r="B132" s="62">
        <f t="shared" si="0"/>
        <v>129</v>
      </c>
      <c r="C132" s="62" t="s">
        <v>145</v>
      </c>
      <c r="D132" s="67">
        <v>42710</v>
      </c>
      <c r="E132" s="233" t="s">
        <v>25</v>
      </c>
      <c r="F132" s="64" t="s">
        <v>432</v>
      </c>
      <c r="G132" s="64" t="s">
        <v>433</v>
      </c>
      <c r="H132" s="64" t="s">
        <v>436</v>
      </c>
      <c r="I132" s="65" t="s">
        <v>434</v>
      </c>
      <c r="J132" s="66"/>
      <c r="K132" s="67"/>
      <c r="L132" s="65"/>
      <c r="M132" s="65"/>
      <c r="N132" s="108" t="s">
        <v>427</v>
      </c>
      <c r="O132" s="68"/>
      <c r="P132" s="69">
        <v>552669000</v>
      </c>
      <c r="Q132" s="104"/>
      <c r="R132" s="255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>p</v>
      </c>
    </row>
    <row r="133" spans="1:18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 t="str">
        <f t="shared" si="0"/>
        <v/>
      </c>
      <c r="C133" s="62"/>
      <c r="D133" s="67"/>
      <c r="E133" s="65"/>
      <c r="F133" s="64"/>
      <c r="G133" s="64"/>
      <c r="H133" s="64"/>
      <c r="I133" s="65"/>
      <c r="J133" s="66"/>
      <c r="K133" s="67"/>
      <c r="L133" s="65"/>
      <c r="M133" s="65"/>
      <c r="N133" s="64"/>
      <c r="O133" s="68"/>
      <c r="P133" s="69"/>
      <c r="Q133" s="104"/>
      <c r="R133" s="255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 t="str">
        <f t="shared" si="0"/>
        <v/>
      </c>
      <c r="C134" s="62"/>
      <c r="D134" s="67"/>
      <c r="E134" s="65"/>
      <c r="F134" s="64"/>
      <c r="G134" s="64"/>
      <c r="H134" s="64"/>
      <c r="I134" s="65"/>
      <c r="J134" s="66"/>
      <c r="K134" s="67"/>
      <c r="L134" s="65"/>
      <c r="M134" s="65"/>
      <c r="N134" s="64"/>
      <c r="O134" s="68"/>
      <c r="P134" s="69"/>
      <c r="Q134" s="104"/>
      <c r="R134" s="255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 t="str">
        <f t="shared" si="0"/>
        <v/>
      </c>
      <c r="C135" s="62"/>
      <c r="D135" s="67"/>
      <c r="E135" s="65"/>
      <c r="F135" s="64"/>
      <c r="G135" s="64"/>
      <c r="H135" s="64"/>
      <c r="I135" s="65"/>
      <c r="J135" s="66"/>
      <c r="K135" s="67"/>
      <c r="L135" s="65"/>
      <c r="M135" s="65"/>
      <c r="N135" s="64"/>
      <c r="O135" s="68"/>
      <c r="P135" s="69"/>
      <c r="Q135" s="104"/>
      <c r="R135" s="255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 t="str">
        <f t="shared" si="0"/>
        <v/>
      </c>
      <c r="C136" s="62"/>
      <c r="D136" s="67"/>
      <c r="E136" s="65"/>
      <c r="F136" s="64"/>
      <c r="G136" s="64"/>
      <c r="H136" s="64"/>
      <c r="I136" s="65"/>
      <c r="J136" s="66"/>
      <c r="K136" s="67"/>
      <c r="L136" s="65"/>
      <c r="M136" s="65"/>
      <c r="N136" s="64"/>
      <c r="O136" s="68"/>
      <c r="P136" s="69"/>
      <c r="Q136" s="104"/>
      <c r="R136" s="255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 t="str">
        <f t="shared" ref="B137:B140" si="8">IF(C137&lt;&gt;"",ROW()-3,"")</f>
        <v/>
      </c>
      <c r="C137" s="62"/>
      <c r="D137" s="67"/>
      <c r="E137" s="65"/>
      <c r="F137" s="64"/>
      <c r="G137" s="64"/>
      <c r="H137" s="64"/>
      <c r="I137" s="65"/>
      <c r="J137" s="66"/>
      <c r="K137" s="67"/>
      <c r="L137" s="65"/>
      <c r="M137" s="65"/>
      <c r="N137" s="64"/>
      <c r="O137" s="68"/>
      <c r="P137" s="69"/>
      <c r="Q137" s="104"/>
      <c r="R137" s="255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 t="str">
        <f t="shared" si="8"/>
        <v/>
      </c>
      <c r="C138" s="62"/>
      <c r="D138" s="67"/>
      <c r="E138" s="65"/>
      <c r="F138" s="64"/>
      <c r="G138" s="64"/>
      <c r="H138" s="64"/>
      <c r="I138" s="65"/>
      <c r="J138" s="66"/>
      <c r="K138" s="67"/>
      <c r="L138" s="65"/>
      <c r="M138" s="65"/>
      <c r="N138" s="64"/>
      <c r="O138" s="68"/>
      <c r="P138" s="69"/>
      <c r="Q138" s="104"/>
      <c r="R138" s="255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 t="str">
        <f t="shared" si="8"/>
        <v/>
      </c>
      <c r="C139" s="62"/>
      <c r="D139" s="67"/>
      <c r="E139" s="65"/>
      <c r="F139" s="64"/>
      <c r="G139" s="64"/>
      <c r="H139" s="64"/>
      <c r="I139" s="65"/>
      <c r="J139" s="66"/>
      <c r="K139" s="67"/>
      <c r="L139" s="65"/>
      <c r="M139" s="65"/>
      <c r="N139" s="64"/>
      <c r="O139" s="68"/>
      <c r="P139" s="69"/>
      <c r="Q139" s="104"/>
      <c r="R139" s="255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 t="str">
        <f t="shared" si="8"/>
        <v/>
      </c>
      <c r="C140" s="62"/>
      <c r="D140" s="67"/>
      <c r="E140" s="65"/>
      <c r="F140" s="64"/>
      <c r="G140" s="64"/>
      <c r="H140" s="64"/>
      <c r="I140" s="65"/>
      <c r="J140" s="66"/>
      <c r="K140" s="67"/>
      <c r="L140" s="65"/>
      <c r="M140" s="65"/>
      <c r="N140" s="64"/>
      <c r="O140" s="68"/>
      <c r="P140" s="69"/>
      <c r="Q140" s="104"/>
      <c r="R140" s="255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 t="str">
        <f t="shared" ref="B141:B148" si="9">IF(C141&lt;&gt;"",ROW()-3,"")</f>
        <v/>
      </c>
      <c r="C141" s="62"/>
      <c r="D141" s="67"/>
      <c r="E141" s="65"/>
      <c r="F141" s="64"/>
      <c r="G141" s="64"/>
      <c r="H141" s="64"/>
      <c r="I141" s="65"/>
      <c r="J141" s="66"/>
      <c r="K141" s="67"/>
      <c r="L141" s="65"/>
      <c r="M141" s="65"/>
      <c r="N141" s="64"/>
      <c r="O141" s="68"/>
      <c r="P141" s="69"/>
      <c r="Q141" s="104"/>
      <c r="R141" s="255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 t="str">
        <f t="shared" si="9"/>
        <v/>
      </c>
      <c r="C142" s="62"/>
      <c r="D142" s="67"/>
      <c r="E142" s="65"/>
      <c r="F142" s="64"/>
      <c r="G142" s="64"/>
      <c r="H142" s="64"/>
      <c r="I142" s="65"/>
      <c r="J142" s="66"/>
      <c r="K142" s="67"/>
      <c r="L142" s="65"/>
      <c r="M142" s="65"/>
      <c r="N142" s="64"/>
      <c r="O142" s="68"/>
      <c r="P142" s="69"/>
      <c r="Q142" s="104"/>
      <c r="R142" s="255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 t="str">
        <f t="shared" si="9"/>
        <v/>
      </c>
      <c r="C143" s="62"/>
      <c r="D143" s="67"/>
      <c r="E143" s="65"/>
      <c r="F143" s="64"/>
      <c r="G143" s="64"/>
      <c r="H143" s="64"/>
      <c r="I143" s="65"/>
      <c r="J143" s="66"/>
      <c r="K143" s="67"/>
      <c r="L143" s="65"/>
      <c r="M143" s="65"/>
      <c r="N143" s="64"/>
      <c r="O143" s="68"/>
      <c r="P143" s="69"/>
      <c r="Q143" s="104"/>
      <c r="R143" s="255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 t="str">
        <f t="shared" si="9"/>
        <v/>
      </c>
      <c r="C144" s="62"/>
      <c r="D144" s="67"/>
      <c r="E144" s="65"/>
      <c r="F144" s="64"/>
      <c r="G144" s="64"/>
      <c r="H144" s="64"/>
      <c r="I144" s="65"/>
      <c r="J144" s="66"/>
      <c r="K144" s="67"/>
      <c r="L144" s="65"/>
      <c r="M144" s="65"/>
      <c r="N144" s="64"/>
      <c r="O144" s="68"/>
      <c r="P144" s="69"/>
      <c r="Q144" s="104"/>
      <c r="R144" s="255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 t="str">
        <f t="shared" si="9"/>
        <v/>
      </c>
      <c r="C145" s="62"/>
      <c r="D145" s="67"/>
      <c r="E145" s="65"/>
      <c r="F145" s="64"/>
      <c r="G145" s="64"/>
      <c r="H145" s="64"/>
      <c r="I145" s="65"/>
      <c r="J145" s="66"/>
      <c r="K145" s="67"/>
      <c r="L145" s="65"/>
      <c r="M145" s="65"/>
      <c r="N145" s="64"/>
      <c r="O145" s="68"/>
      <c r="P145" s="69"/>
      <c r="Q145" s="104"/>
      <c r="R145" s="255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 t="str">
        <f t="shared" si="9"/>
        <v/>
      </c>
      <c r="C146" s="62"/>
      <c r="D146" s="67"/>
      <c r="E146" s="65"/>
      <c r="F146" s="64"/>
      <c r="G146" s="64"/>
      <c r="H146" s="64"/>
      <c r="I146" s="65"/>
      <c r="J146" s="66"/>
      <c r="K146" s="67"/>
      <c r="L146" s="65"/>
      <c r="M146" s="65"/>
      <c r="N146" s="64"/>
      <c r="O146" s="68"/>
      <c r="P146" s="69"/>
      <c r="Q146" s="104"/>
      <c r="R146" s="255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 t="str">
        <f t="shared" si="9"/>
        <v/>
      </c>
      <c r="C147" s="62"/>
      <c r="D147" s="67"/>
      <c r="E147" s="65"/>
      <c r="F147" s="64"/>
      <c r="G147" s="64"/>
      <c r="H147" s="64"/>
      <c r="I147" s="65"/>
      <c r="J147" s="66"/>
      <c r="K147" s="67"/>
      <c r="L147" s="65"/>
      <c r="M147" s="65"/>
      <c r="N147" s="64"/>
      <c r="O147" s="68"/>
      <c r="P147" s="69"/>
      <c r="Q147" s="104"/>
      <c r="R147" s="255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 t="str">
        <f t="shared" si="9"/>
        <v/>
      </c>
      <c r="C148" s="62"/>
      <c r="D148" s="67"/>
      <c r="E148" s="65"/>
      <c r="F148" s="64"/>
      <c r="G148" s="64"/>
      <c r="H148" s="64"/>
      <c r="I148" s="65"/>
      <c r="J148" s="66"/>
      <c r="K148" s="67"/>
      <c r="L148" s="65"/>
      <c r="M148" s="65"/>
      <c r="N148" s="64"/>
      <c r="O148" s="68"/>
      <c r="P148" s="69"/>
      <c r="Q148" s="104"/>
      <c r="R148" s="255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 t="str">
        <f t="shared" si="0"/>
        <v/>
      </c>
      <c r="C149" s="62"/>
      <c r="D149" s="67"/>
      <c r="E149" s="65"/>
      <c r="F149" s="64"/>
      <c r="G149" s="64"/>
      <c r="H149" s="64"/>
      <c r="I149" s="65"/>
      <c r="J149" s="66"/>
      <c r="K149" s="67"/>
      <c r="L149" s="65"/>
      <c r="M149" s="65"/>
      <c r="N149" s="64"/>
      <c r="O149" s="68"/>
      <c r="P149" s="69"/>
      <c r="Q149" s="104"/>
      <c r="R149" s="255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 t="str">
        <f t="shared" si="0"/>
        <v/>
      </c>
      <c r="C150" s="62"/>
      <c r="D150" s="67"/>
      <c r="E150" s="65"/>
      <c r="F150" s="64"/>
      <c r="G150" s="64"/>
      <c r="H150" s="64"/>
      <c r="I150" s="65"/>
      <c r="J150" s="66"/>
      <c r="K150" s="67"/>
      <c r="L150" s="65"/>
      <c r="M150" s="65"/>
      <c r="N150" s="64"/>
      <c r="O150" s="68"/>
      <c r="P150" s="69"/>
      <c r="Q150" s="104"/>
      <c r="R150" s="255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 t="str">
        <f t="shared" si="0"/>
        <v/>
      </c>
      <c r="C151" s="62"/>
      <c r="D151" s="67"/>
      <c r="E151" s="65"/>
      <c r="F151" s="64"/>
      <c r="G151" s="64"/>
      <c r="H151" s="64"/>
      <c r="I151" s="65"/>
      <c r="J151" s="66"/>
      <c r="K151" s="67"/>
      <c r="L151" s="65"/>
      <c r="M151" s="65"/>
      <c r="N151" s="64"/>
      <c r="O151" s="68"/>
      <c r="P151" s="69"/>
      <c r="Q151" s="104"/>
      <c r="R151" s="255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 t="str">
        <f t="shared" si="0"/>
        <v/>
      </c>
      <c r="C152" s="62"/>
      <c r="D152" s="67"/>
      <c r="E152" s="65"/>
      <c r="F152" s="64"/>
      <c r="G152" s="64"/>
      <c r="H152" s="64"/>
      <c r="I152" s="65"/>
      <c r="J152" s="66"/>
      <c r="K152" s="67"/>
      <c r="L152" s="65"/>
      <c r="M152" s="65"/>
      <c r="N152" s="64"/>
      <c r="O152" s="68"/>
      <c r="P152" s="69"/>
      <c r="Q152" s="104"/>
      <c r="R152" s="255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 t="str">
        <f t="shared" si="0"/>
        <v/>
      </c>
      <c r="C153" s="62"/>
      <c r="D153" s="67"/>
      <c r="E153" s="65"/>
      <c r="F153" s="64"/>
      <c r="G153" s="64"/>
      <c r="H153" s="64"/>
      <c r="I153" s="65"/>
      <c r="J153" s="66"/>
      <c r="K153" s="67"/>
      <c r="L153" s="65"/>
      <c r="M153" s="65"/>
      <c r="N153" s="64"/>
      <c r="O153" s="68"/>
      <c r="P153" s="69"/>
      <c r="Q153" s="104"/>
      <c r="R153" s="255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 t="str">
        <f t="shared" si="0"/>
        <v/>
      </c>
      <c r="C154" s="62"/>
      <c r="D154" s="67"/>
      <c r="E154" s="65"/>
      <c r="F154" s="64"/>
      <c r="G154" s="64"/>
      <c r="H154" s="64"/>
      <c r="I154" s="65"/>
      <c r="J154" s="66"/>
      <c r="K154" s="67"/>
      <c r="L154" s="65"/>
      <c r="M154" s="65"/>
      <c r="N154" s="64"/>
      <c r="O154" s="68"/>
      <c r="P154" s="69"/>
      <c r="Q154" s="104"/>
      <c r="R154" s="255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 t="str">
        <f t="shared" si="0"/>
        <v/>
      </c>
      <c r="C155" s="62"/>
      <c r="D155" s="67"/>
      <c r="E155" s="65"/>
      <c r="F155" s="64"/>
      <c r="G155" s="64"/>
      <c r="H155" s="64"/>
      <c r="I155" s="65"/>
      <c r="J155" s="66"/>
      <c r="K155" s="67"/>
      <c r="L155" s="65"/>
      <c r="M155" s="65"/>
      <c r="N155" s="64"/>
      <c r="O155" s="68"/>
      <c r="P155" s="69"/>
      <c r="Q155" s="104"/>
      <c r="R155" s="255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 t="str">
        <f t="shared" si="0"/>
        <v/>
      </c>
      <c r="C156" s="62"/>
      <c r="D156" s="67"/>
      <c r="E156" s="65"/>
      <c r="F156" s="64"/>
      <c r="G156" s="64"/>
      <c r="H156" s="64"/>
      <c r="I156" s="65"/>
      <c r="J156" s="66"/>
      <c r="K156" s="67"/>
      <c r="L156" s="65"/>
      <c r="M156" s="65"/>
      <c r="N156" s="64"/>
      <c r="O156" s="68"/>
      <c r="P156" s="69"/>
      <c r="Q156" s="104"/>
      <c r="R156" s="255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ht="18.75" customHeight="1">
      <c r="R157" s="255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</sheetData>
  <autoFilter ref="B3:X157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156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B20" sqref="B20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5" t="s">
        <v>264</v>
      </c>
      <c r="B2" s="275" t="s">
        <v>265</v>
      </c>
      <c r="C2" s="277" t="s">
        <v>266</v>
      </c>
      <c r="D2" s="277"/>
      <c r="E2" s="278" t="s">
        <v>267</v>
      </c>
      <c r="F2" s="278"/>
      <c r="G2" s="278"/>
      <c r="H2" s="279" t="s">
        <v>268</v>
      </c>
      <c r="I2" s="279"/>
      <c r="J2" s="279"/>
      <c r="K2" s="280" t="s">
        <v>269</v>
      </c>
      <c r="L2" s="280"/>
      <c r="M2" s="273" t="s">
        <v>270</v>
      </c>
      <c r="N2" s="273"/>
      <c r="O2" s="273"/>
      <c r="P2" s="273"/>
      <c r="Q2" s="273"/>
      <c r="R2" s="274" t="s">
        <v>271</v>
      </c>
      <c r="S2" s="275" t="s">
        <v>272</v>
      </c>
    </row>
    <row r="3" spans="1:20" s="134" customFormat="1" ht="33" customHeight="1">
      <c r="A3" s="275"/>
      <c r="B3" s="275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229" t="s">
        <v>346</v>
      </c>
      <c r="Q3" s="143" t="s">
        <v>282</v>
      </c>
      <c r="R3" s="274"/>
      <c r="S3" s="275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76" t="s">
        <v>296</v>
      </c>
      <c r="B9" s="276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>IF((LEFT(B11,4)="1402"),F11*R11*DATEDIF(DATE(YEAR(Q11),MONTH(Q11)-1,IF(MONTH(C11)=(MONTH(Q11)-1),DAY(C11),16)),Q11,"d")/360,0)</f>
        <v>0</v>
      </c>
      <c r="P11" s="161">
        <f>IF((LEFT(B11,4)="1025"),F11*R11*DATEDIF(DATE(YEAR(Q11),MONTH(Q11)-1,DAY(Q11)),Q11,"d")/360,0)</f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>IF((LEFT(B12,4)="1402"),F12*R12*DATEDIF(DATE(YEAR(Q12),MONTH(Q12)-1,IF(MONTH(C12)=(MONTH(Q12)-1),DAY(C12),16)),Q12,"d")/360,0)</f>
        <v>0</v>
      </c>
      <c r="P12" s="161">
        <f>IF((LEFT(B12,4)="1025"),F12*R12*DATEDIF(DATE(YEAR(Q12),MONTH(Q12)-1,DAY(Q12)),Q12,"d")/360,0)</f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>IF((LEFT(B13,4)="1402"),F13*R13*DATEDIF(DATE(YEAR(Q13),MONTH(Q13)-1,IF(MONTH(C13)=(MONTH(Q13)-1),DAY(C13),16)),Q13,"d")/360,0)</f>
        <v>0</v>
      </c>
      <c r="P13" s="161">
        <f>IF((LEFT(B13,4)="1025"),F13*R13*DATEDIF(DATE(YEAR(Q13),MONTH(Q13)-1,DAY(Q13)),Q13,"d")/360,0)</f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331</v>
      </c>
      <c r="C14" s="157">
        <v>42543</v>
      </c>
      <c r="D14" s="157">
        <v>42635</v>
      </c>
      <c r="E14" s="159">
        <v>1963104000</v>
      </c>
      <c r="F14" s="158">
        <f>E14/G14</f>
        <v>88000</v>
      </c>
      <c r="G14" s="159">
        <v>22308</v>
      </c>
      <c r="H14" s="157"/>
      <c r="I14" s="158"/>
      <c r="J14" s="158"/>
      <c r="K14" s="150"/>
      <c r="L14" s="147">
        <f t="shared" si="4"/>
        <v>88000</v>
      </c>
      <c r="M14" s="158"/>
      <c r="N14" s="159">
        <f>P14*G14</f>
        <v>6085622.3999999994</v>
      </c>
      <c r="O14" s="161">
        <f>IF((LEFT(B14,4)="1402"),F14*R14*DATEDIF(DATE(YEAR(Q14),MONTH(Q14)-1,IF(MONTH(C14)=(MONTH(Q14)-1),DAY(C14),16)),Q14,"d")/360,0)</f>
        <v>0</v>
      </c>
      <c r="P14" s="161">
        <f>IF((LEFT(B14,4)="1025"),F14*R14*DATEDIF(DATE(YEAR(Q14),MONTH(Q14)-1,DAY(Q14)),Q14,"d")/360,0)</f>
        <v>272.79999999999995</v>
      </c>
      <c r="Q14" s="146">
        <v>42635</v>
      </c>
      <c r="R14" s="227">
        <v>3.5999999999999997E-2</v>
      </c>
      <c r="S14" s="191"/>
      <c r="T14" s="154"/>
    </row>
    <row r="15" spans="1:20" s="154" customFormat="1" ht="17.25" customHeight="1">
      <c r="A15" s="180">
        <f t="shared" si="3"/>
        <v>6</v>
      </c>
      <c r="B15" s="156" t="s">
        <v>336</v>
      </c>
      <c r="C15" s="157">
        <v>42545</v>
      </c>
      <c r="D15" s="157">
        <v>42728</v>
      </c>
      <c r="E15" s="159"/>
      <c r="F15" s="158">
        <v>150000</v>
      </c>
      <c r="G15" s="159"/>
      <c r="H15" s="157"/>
      <c r="I15" s="158"/>
      <c r="J15" s="158"/>
      <c r="K15" s="147"/>
      <c r="L15" s="147">
        <f t="shared" si="4"/>
        <v>150000</v>
      </c>
      <c r="M15" s="158"/>
      <c r="N15" s="158"/>
      <c r="O15" s="161">
        <f t="shared" ref="O15:O19" si="5">IF((LEFT(B15,4)="1402"),F15*R15*DATEDIF(DATE(YEAR(Q15),MONTH(Q15)-1,IF(MONTH(C15)=(MONTH(Q15)-1),DAY(C15),16)),Q15,"d")/360,0)</f>
        <v>0</v>
      </c>
      <c r="P15" s="161">
        <f t="shared" ref="P15:P19" si="6">IF((LEFT(B15,4)="1025"),F15*R15*DATEDIF(DATE(YEAR(Q15),MONTH(Q15)-1,DAY(Q15)),Q15,"d")/360,0)</f>
        <v>387.5</v>
      </c>
      <c r="Q15" s="146">
        <v>42637</v>
      </c>
      <c r="R15" s="227">
        <v>0.03</v>
      </c>
      <c r="S15" s="163"/>
      <c r="T15" s="242">
        <f>E14*R14/12</f>
        <v>5889312</v>
      </c>
    </row>
    <row r="16" spans="1:20" s="154" customFormat="1" ht="17.25" customHeight="1">
      <c r="A16" s="180">
        <f t="shared" si="3"/>
        <v>7</v>
      </c>
      <c r="B16" s="156" t="s">
        <v>337</v>
      </c>
      <c r="C16" s="157">
        <v>42552</v>
      </c>
      <c r="D16" s="157">
        <v>42737</v>
      </c>
      <c r="E16" s="159">
        <f>F16*G16</f>
        <v>1996566000</v>
      </c>
      <c r="F16" s="158">
        <v>89500</v>
      </c>
      <c r="G16" s="159">
        <v>22308</v>
      </c>
      <c r="H16" s="157"/>
      <c r="I16" s="158"/>
      <c r="J16" s="158"/>
      <c r="K16" s="147"/>
      <c r="L16" s="147">
        <f t="shared" si="4"/>
        <v>89500</v>
      </c>
      <c r="M16" s="158"/>
      <c r="N16" s="158"/>
      <c r="O16" s="161">
        <f t="shared" si="5"/>
        <v>0</v>
      </c>
      <c r="P16" s="161">
        <f t="shared" si="6"/>
        <v>223.75</v>
      </c>
      <c r="Q16" s="146">
        <v>42644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338</v>
      </c>
      <c r="C17" s="201">
        <v>42556</v>
      </c>
      <c r="D17" s="157">
        <v>42740</v>
      </c>
      <c r="E17" s="159">
        <f>F17*G17</f>
        <v>1985412000</v>
      </c>
      <c r="F17" s="202">
        <v>89000</v>
      </c>
      <c r="G17" s="159">
        <v>22308</v>
      </c>
      <c r="H17" s="201"/>
      <c r="I17" s="202"/>
      <c r="J17" s="202"/>
      <c r="K17" s="147"/>
      <c r="L17" s="147">
        <f t="shared" si="4"/>
        <v>89000</v>
      </c>
      <c r="M17" s="202"/>
      <c r="N17" s="202"/>
      <c r="O17" s="161">
        <f t="shared" si="5"/>
        <v>0</v>
      </c>
      <c r="P17" s="161">
        <f t="shared" si="6"/>
        <v>222.5</v>
      </c>
      <c r="Q17" s="146">
        <v>42648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339</v>
      </c>
      <c r="C18" s="201">
        <v>42600</v>
      </c>
      <c r="D18" s="157">
        <v>42784</v>
      </c>
      <c r="E18" s="203"/>
      <c r="F18" s="202">
        <v>63000</v>
      </c>
      <c r="G18" s="159">
        <v>22308</v>
      </c>
      <c r="H18" s="201"/>
      <c r="I18" s="202"/>
      <c r="J18" s="202"/>
      <c r="K18" s="147"/>
      <c r="L18" s="147">
        <f t="shared" si="4"/>
        <v>63000</v>
      </c>
      <c r="M18" s="202"/>
      <c r="N18" s="202"/>
      <c r="O18" s="161">
        <f t="shared" si="5"/>
        <v>0</v>
      </c>
      <c r="P18" s="161">
        <f t="shared" si="6"/>
        <v>162.75</v>
      </c>
      <c r="Q18" s="146">
        <v>42631</v>
      </c>
      <c r="R18" s="227">
        <v>0.03</v>
      </c>
      <c r="S18" s="191"/>
      <c r="T18" s="232"/>
    </row>
    <row r="19" spans="1:20" s="154" customFormat="1" ht="17.25" customHeight="1">
      <c r="A19" s="180">
        <f t="shared" si="3"/>
        <v>10</v>
      </c>
      <c r="B19" s="156" t="s">
        <v>345</v>
      </c>
      <c r="C19" s="201">
        <v>42612</v>
      </c>
      <c r="D19" s="157">
        <v>42794</v>
      </c>
      <c r="E19" s="203"/>
      <c r="F19" s="202">
        <v>89500</v>
      </c>
      <c r="G19" s="159">
        <v>22308</v>
      </c>
      <c r="H19" s="201"/>
      <c r="I19" s="202"/>
      <c r="J19" s="202"/>
      <c r="K19" s="147"/>
      <c r="L19" s="147">
        <f t="shared" si="4"/>
        <v>89500</v>
      </c>
      <c r="M19" s="202"/>
      <c r="N19" s="202"/>
      <c r="O19" s="161">
        <f t="shared" si="5"/>
        <v>0</v>
      </c>
      <c r="P19" s="161">
        <f t="shared" si="6"/>
        <v>231.20833333333334</v>
      </c>
      <c r="Q19" s="146">
        <v>42635</v>
      </c>
      <c r="R19" s="227">
        <v>0.03</v>
      </c>
      <c r="S19" s="163"/>
      <c r="T19" s="232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2" t="s">
        <v>343</v>
      </c>
      <c r="B21" s="272"/>
      <c r="C21" s="205"/>
      <c r="D21" s="205"/>
      <c r="E21" s="175">
        <f>SUM(E4:E20)</f>
        <v>14097980737</v>
      </c>
      <c r="F21" s="176">
        <f>SUM(F10:F20)</f>
        <v>934469.73000717233</v>
      </c>
      <c r="G21" s="175">
        <f>SUM(G4:G16)</f>
        <v>133848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2633.4644963555675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2" t="s">
        <v>326</v>
      </c>
      <c r="B39" s="272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4">
    <sortCondition descending="1" ref="D10:D14"/>
  </sortState>
  <mergeCells count="12">
    <mergeCell ref="A39:B39"/>
    <mergeCell ref="M2:Q2"/>
    <mergeCell ref="R2:R3"/>
    <mergeCell ref="S2:S3"/>
    <mergeCell ref="A9:B9"/>
    <mergeCell ref="A21:B21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C19" sqref="C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5" t="s">
        <v>264</v>
      </c>
      <c r="B2" s="275" t="s">
        <v>265</v>
      </c>
      <c r="C2" s="277" t="s">
        <v>266</v>
      </c>
      <c r="D2" s="277"/>
      <c r="E2" s="278" t="s">
        <v>267</v>
      </c>
      <c r="F2" s="278"/>
      <c r="G2" s="278"/>
      <c r="H2" s="279" t="s">
        <v>268</v>
      </c>
      <c r="I2" s="279"/>
      <c r="J2" s="279"/>
      <c r="K2" s="280" t="s">
        <v>269</v>
      </c>
      <c r="L2" s="280"/>
      <c r="M2" s="273" t="s">
        <v>270</v>
      </c>
      <c r="N2" s="273"/>
      <c r="O2" s="273"/>
      <c r="P2" s="273"/>
      <c r="Q2" s="273"/>
      <c r="R2" s="274" t="s">
        <v>271</v>
      </c>
      <c r="S2" s="275" t="s">
        <v>272</v>
      </c>
    </row>
    <row r="3" spans="1:20" s="134" customFormat="1" ht="33" customHeight="1">
      <c r="A3" s="275"/>
      <c r="B3" s="275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5" t="s">
        <v>275</v>
      </c>
      <c r="J3" s="245" t="s">
        <v>278</v>
      </c>
      <c r="K3" s="246" t="s">
        <v>275</v>
      </c>
      <c r="L3" s="137" t="s">
        <v>278</v>
      </c>
      <c r="M3" s="243" t="s">
        <v>279</v>
      </c>
      <c r="N3" s="243" t="s">
        <v>280</v>
      </c>
      <c r="O3" s="142" t="s">
        <v>281</v>
      </c>
      <c r="P3" s="244" t="s">
        <v>346</v>
      </c>
      <c r="Q3" s="244" t="s">
        <v>282</v>
      </c>
      <c r="R3" s="274"/>
      <c r="S3" s="275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76" t="s">
        <v>296</v>
      </c>
      <c r="B9" s="276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 t="shared" si="5"/>
        <v>0</v>
      </c>
      <c r="P13" s="161">
        <f t="shared" si="6"/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6456140.2109999992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2" t="s">
        <v>343</v>
      </c>
      <c r="B21" s="272"/>
      <c r="C21" s="205"/>
      <c r="D21" s="205"/>
      <c r="E21" s="175">
        <f>SUM(E4:E20)</f>
        <v>8152898737</v>
      </c>
      <c r="F21" s="176">
        <f>SUM(F10:F20)</f>
        <v>934469.73000717233</v>
      </c>
      <c r="G21" s="175">
        <f>SUM(G4:G16)</f>
        <v>89232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2587.9978296889012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2" t="s">
        <v>326</v>
      </c>
      <c r="B39" s="272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9">
    <sortCondition ref="C10:C19"/>
  </sortState>
  <mergeCells count="12">
    <mergeCell ref="M2:Q2"/>
    <mergeCell ref="R2:R3"/>
    <mergeCell ref="S2:S3"/>
    <mergeCell ref="A9:B9"/>
    <mergeCell ref="A21:B21"/>
    <mergeCell ref="H2:J2"/>
    <mergeCell ref="K2:L2"/>
    <mergeCell ref="A39:B39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K22" sqref="K22:K35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5" t="s">
        <v>264</v>
      </c>
      <c r="B2" s="275" t="s">
        <v>265</v>
      </c>
      <c r="C2" s="277" t="s">
        <v>266</v>
      </c>
      <c r="D2" s="277"/>
      <c r="E2" s="278" t="s">
        <v>267</v>
      </c>
      <c r="F2" s="278"/>
      <c r="G2" s="278"/>
      <c r="H2" s="279" t="s">
        <v>268</v>
      </c>
      <c r="I2" s="279"/>
      <c r="J2" s="279"/>
      <c r="K2" s="280" t="s">
        <v>269</v>
      </c>
      <c r="L2" s="280"/>
      <c r="M2" s="273" t="s">
        <v>270</v>
      </c>
      <c r="N2" s="273"/>
      <c r="O2" s="273"/>
      <c r="P2" s="273"/>
      <c r="Q2" s="273"/>
      <c r="R2" s="274" t="s">
        <v>271</v>
      </c>
      <c r="S2" s="275" t="s">
        <v>272</v>
      </c>
    </row>
    <row r="3" spans="1:20" s="134" customFormat="1" ht="33" customHeight="1">
      <c r="A3" s="275"/>
      <c r="B3" s="275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9" t="s">
        <v>275</v>
      </c>
      <c r="J3" s="249" t="s">
        <v>278</v>
      </c>
      <c r="K3" s="250" t="s">
        <v>275</v>
      </c>
      <c r="L3" s="137" t="s">
        <v>278</v>
      </c>
      <c r="M3" s="247" t="s">
        <v>279</v>
      </c>
      <c r="N3" s="247" t="s">
        <v>280</v>
      </c>
      <c r="O3" s="142" t="s">
        <v>281</v>
      </c>
      <c r="P3" s="248" t="s">
        <v>346</v>
      </c>
      <c r="Q3" s="248" t="s">
        <v>282</v>
      </c>
      <c r="R3" s="274"/>
      <c r="S3" s="275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76" t="s">
        <v>296</v>
      </c>
      <c r="B9" s="276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/>
      <c r="C13" s="157"/>
      <c r="D13" s="157"/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0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2" t="s">
        <v>343</v>
      </c>
      <c r="B21" s="272"/>
      <c r="C21" s="205"/>
      <c r="D21" s="205"/>
      <c r="E21" s="175">
        <f>SUM(E4:E20)</f>
        <v>6000852000</v>
      </c>
      <c r="F21" s="176">
        <f>SUM(F10:F20)</f>
        <v>934000</v>
      </c>
      <c r="G21" s="175">
        <f>SUM(G4:G16)</f>
        <v>66924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934000</v>
      </c>
      <c r="M21" s="176">
        <f>SUM(M4:M14)</f>
        <v>0</v>
      </c>
      <c r="N21" s="176"/>
      <c r="O21" s="176">
        <f>SUM(O10:O20)</f>
        <v>0</v>
      </c>
      <c r="P21" s="176">
        <f>SUM(P10:P20)</f>
        <v>2288.9416666666666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991660000</v>
      </c>
      <c r="F22" s="161"/>
      <c r="G22" s="189"/>
      <c r="H22" s="188">
        <v>42662</v>
      </c>
      <c r="I22" s="189">
        <v>8340000</v>
      </c>
      <c r="J22" s="161"/>
      <c r="K22" s="189">
        <f t="shared" ref="K22:K36" si="7">E22-I22</f>
        <v>983320000</v>
      </c>
      <c r="L22" s="161"/>
      <c r="M22" s="189">
        <f>IF((LEFT(B22,4)="1402"),E22*R22*DATEDIF(DATE(YEAR(Q22),MONTH(Q22)-1,IF(MONTH(C22)=(MONTH(Q22)-1),DAY(C22),16)),Q22,"d")/360,0)</f>
        <v>8112329.722222222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1983330000</v>
      </c>
      <c r="F23" s="161"/>
      <c r="G23" s="189"/>
      <c r="H23" s="188">
        <v>42662</v>
      </c>
      <c r="I23" s="189">
        <v>16670000</v>
      </c>
      <c r="J23" s="161"/>
      <c r="K23" s="189">
        <f t="shared" si="7"/>
        <v>1966660000</v>
      </c>
      <c r="L23" s="161"/>
      <c r="M23" s="189">
        <f t="shared" ref="M23:M35" si="10">IF((LEFT(B23,4)="1402"),E23*R23*DATEDIF(DATE(YEAR(Q23),MONTH(Q23)-1,IF(MONTH(C23)=(MONTH(Q23)-1),DAY(C23),16)),Q23,"d")/360,0)</f>
        <v>17794877.5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1586660000</v>
      </c>
      <c r="F24" s="213"/>
      <c r="G24" s="212"/>
      <c r="H24" s="188">
        <v>42662</v>
      </c>
      <c r="I24" s="212">
        <v>13340000</v>
      </c>
      <c r="J24" s="213"/>
      <c r="K24" s="189">
        <f t="shared" si="7"/>
        <v>1573320000</v>
      </c>
      <c r="L24" s="213"/>
      <c r="M24" s="189">
        <f t="shared" si="10"/>
        <v>14235866.111111112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1487500000</v>
      </c>
      <c r="F25" s="213"/>
      <c r="G25" s="212"/>
      <c r="H25" s="188">
        <v>42662</v>
      </c>
      <c r="I25" s="212">
        <v>12500000</v>
      </c>
      <c r="J25" s="213"/>
      <c r="K25" s="189">
        <f t="shared" si="7"/>
        <v>1475000000</v>
      </c>
      <c r="L25" s="213"/>
      <c r="M25" s="189">
        <f t="shared" si="10"/>
        <v>13346180.555555556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991670000</v>
      </c>
      <c r="F26" s="213"/>
      <c r="G26" s="212"/>
      <c r="H26" s="188">
        <v>42662</v>
      </c>
      <c r="I26" s="212">
        <v>8330000</v>
      </c>
      <c r="J26" s="213"/>
      <c r="K26" s="212">
        <f t="shared" si="7"/>
        <v>983340000</v>
      </c>
      <c r="L26" s="213"/>
      <c r="M26" s="189">
        <f t="shared" si="10"/>
        <v>8897483.6111111119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1487500000</v>
      </c>
      <c r="F27" s="213"/>
      <c r="G27" s="212"/>
      <c r="H27" s="188">
        <v>42662</v>
      </c>
      <c r="I27" s="212">
        <v>12500000</v>
      </c>
      <c r="J27" s="213"/>
      <c r="K27" s="212">
        <f t="shared" si="7"/>
        <v>1475000000</v>
      </c>
      <c r="L27" s="213"/>
      <c r="M27" s="189">
        <f t="shared" si="10"/>
        <v>13346180.555555556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1983330000</v>
      </c>
      <c r="F28" s="213"/>
      <c r="G28" s="212"/>
      <c r="H28" s="188">
        <v>42662</v>
      </c>
      <c r="I28" s="212">
        <v>16670000</v>
      </c>
      <c r="J28" s="213"/>
      <c r="K28" s="212">
        <f t="shared" si="7"/>
        <v>1966660000</v>
      </c>
      <c r="L28" s="213"/>
      <c r="M28" s="189">
        <f t="shared" si="10"/>
        <v>17794877.5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1388330000</v>
      </c>
      <c r="F29" s="213"/>
      <c r="G29" s="212"/>
      <c r="H29" s="188">
        <v>42662</v>
      </c>
      <c r="I29" s="212">
        <v>11670000</v>
      </c>
      <c r="J29" s="213"/>
      <c r="K29" s="212">
        <f t="shared" si="7"/>
        <v>1376660000</v>
      </c>
      <c r="L29" s="213"/>
      <c r="M29" s="189">
        <f t="shared" si="10"/>
        <v>12456405.277777778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1487500000</v>
      </c>
      <c r="F30" s="213"/>
      <c r="G30" s="212"/>
      <c r="H30" s="188">
        <v>42662</v>
      </c>
      <c r="I30" s="212">
        <v>12500000</v>
      </c>
      <c r="J30" s="213"/>
      <c r="K30" s="212">
        <f t="shared" si="7"/>
        <v>1475000000</v>
      </c>
      <c r="L30" s="213"/>
      <c r="M30" s="189">
        <f t="shared" si="10"/>
        <v>13346180.555555556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1487500000</v>
      </c>
      <c r="F31" s="213"/>
      <c r="G31" s="212"/>
      <c r="H31" s="188">
        <v>42662</v>
      </c>
      <c r="I31" s="212">
        <v>12500000</v>
      </c>
      <c r="J31" s="213"/>
      <c r="K31" s="212">
        <f t="shared" si="7"/>
        <v>1475000000</v>
      </c>
      <c r="L31" s="213"/>
      <c r="M31" s="189">
        <f t="shared" si="10"/>
        <v>13346180.555555556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1487500000</v>
      </c>
      <c r="F32" s="213"/>
      <c r="G32" s="212"/>
      <c r="H32" s="188">
        <v>42662</v>
      </c>
      <c r="I32" s="212">
        <v>12500000</v>
      </c>
      <c r="J32" s="213"/>
      <c r="K32" s="212">
        <f t="shared" si="7"/>
        <v>1475000000</v>
      </c>
      <c r="L32" s="213"/>
      <c r="M32" s="189">
        <f t="shared" si="10"/>
        <v>13346180.555555556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1487500000</v>
      </c>
      <c r="F33" s="213"/>
      <c r="G33" s="212"/>
      <c r="H33" s="188">
        <v>42662</v>
      </c>
      <c r="I33" s="212">
        <v>12500000</v>
      </c>
      <c r="J33" s="213"/>
      <c r="K33" s="212">
        <f t="shared" si="7"/>
        <v>1475000000</v>
      </c>
      <c r="L33" s="213"/>
      <c r="M33" s="189">
        <f t="shared" si="10"/>
        <v>13346180.555555556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991670000</v>
      </c>
      <c r="F34" s="213"/>
      <c r="G34" s="212"/>
      <c r="H34" s="188">
        <v>42662</v>
      </c>
      <c r="I34" s="212">
        <v>8330000</v>
      </c>
      <c r="J34" s="213"/>
      <c r="K34" s="212">
        <f t="shared" si="7"/>
        <v>983340000</v>
      </c>
      <c r="L34" s="213"/>
      <c r="M34" s="189">
        <f t="shared" si="10"/>
        <v>8897483.6111111119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991670000</v>
      </c>
      <c r="F35" s="213"/>
      <c r="G35" s="212"/>
      <c r="H35" s="188">
        <v>42662</v>
      </c>
      <c r="I35" s="212">
        <v>8330000</v>
      </c>
      <c r="J35" s="213"/>
      <c r="K35" s="212">
        <f t="shared" si="7"/>
        <v>983340000</v>
      </c>
      <c r="L35" s="213"/>
      <c r="M35" s="189">
        <f t="shared" si="10"/>
        <v>9682555.694444444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2" t="s">
        <v>326</v>
      </c>
      <c r="B39" s="272"/>
      <c r="C39" s="205"/>
      <c r="D39" s="205"/>
      <c r="E39" s="175">
        <f>SUM(E22:E38)</f>
        <v>19833320000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19666640000</v>
      </c>
      <c r="L39" s="176">
        <f t="shared" si="12"/>
        <v>88000</v>
      </c>
      <c r="M39" s="175">
        <f t="shared" si="12"/>
        <v>177948962.3611111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mergeCells count="12">
    <mergeCell ref="M2:Q2"/>
    <mergeCell ref="R2:R3"/>
    <mergeCell ref="S2:S3"/>
    <mergeCell ref="A9:B9"/>
    <mergeCell ref="A21:B21"/>
    <mergeCell ref="H2:J2"/>
    <mergeCell ref="K2:L2"/>
    <mergeCell ref="A39:B39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5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F11" sqref="F10:F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5" t="s">
        <v>264</v>
      </c>
      <c r="B2" s="275" t="s">
        <v>265</v>
      </c>
      <c r="C2" s="277" t="s">
        <v>266</v>
      </c>
      <c r="D2" s="277"/>
      <c r="E2" s="278" t="s">
        <v>267</v>
      </c>
      <c r="F2" s="278"/>
      <c r="G2" s="278"/>
      <c r="H2" s="279" t="s">
        <v>268</v>
      </c>
      <c r="I2" s="279"/>
      <c r="J2" s="279"/>
      <c r="K2" s="280" t="s">
        <v>269</v>
      </c>
      <c r="L2" s="280"/>
      <c r="M2" s="273" t="s">
        <v>270</v>
      </c>
      <c r="N2" s="273"/>
      <c r="O2" s="273"/>
      <c r="P2" s="273"/>
      <c r="Q2" s="273"/>
      <c r="R2" s="274" t="s">
        <v>271</v>
      </c>
      <c r="S2" s="275" t="s">
        <v>272</v>
      </c>
    </row>
    <row r="3" spans="1:20" s="134" customFormat="1" ht="33" customHeight="1">
      <c r="A3" s="275"/>
      <c r="B3" s="275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53" t="s">
        <v>275</v>
      </c>
      <c r="J3" s="253" t="s">
        <v>278</v>
      </c>
      <c r="K3" s="254" t="s">
        <v>275</v>
      </c>
      <c r="L3" s="137" t="s">
        <v>278</v>
      </c>
      <c r="M3" s="251" t="s">
        <v>279</v>
      </c>
      <c r="N3" s="251" t="s">
        <v>280</v>
      </c>
      <c r="O3" s="142" t="s">
        <v>281</v>
      </c>
      <c r="P3" s="252" t="s">
        <v>346</v>
      </c>
      <c r="Q3" s="252" t="s">
        <v>282</v>
      </c>
      <c r="R3" s="274"/>
      <c r="S3" s="275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42690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135.10833333333332</v>
      </c>
      <c r="P5" s="161">
        <f t="shared" ref="P5:P7" si="2">IF((LEFT(B5,4)="1025"),F5*R5*DATEDIF(DATE(YEAR(Q5),MONTH(Q5)-1,IF(MONTH(C5)=(MONTH($O$1)-1),DAY(C5),16)),Q5,"d")/360,0)</f>
        <v>0</v>
      </c>
      <c r="Q5" s="146">
        <v>42690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42690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42690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76" t="s">
        <v>296</v>
      </c>
      <c r="B9" s="276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674.76666666666665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21" si="3">ROW()-9</f>
        <v>1</v>
      </c>
      <c r="B10" s="156" t="s">
        <v>335</v>
      </c>
      <c r="C10" s="157">
        <v>42689</v>
      </c>
      <c r="D10" s="157">
        <v>42870</v>
      </c>
      <c r="E10" s="159"/>
      <c r="F10" s="158">
        <v>89000</v>
      </c>
      <c r="G10" s="159"/>
      <c r="H10" s="157"/>
      <c r="I10" s="158"/>
      <c r="J10" s="158"/>
      <c r="K10" s="150"/>
      <c r="L10" s="147">
        <f t="shared" ref="L10:L20" si="4">F10-J10</f>
        <v>89000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229.91666666666666</v>
      </c>
      <c r="Q10" s="146">
        <v>42696</v>
      </c>
      <c r="R10" s="227">
        <v>0.03</v>
      </c>
      <c r="S10" s="191" t="s">
        <v>419</v>
      </c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42684</v>
      </c>
      <c r="D11" s="157">
        <v>42865</v>
      </c>
      <c r="E11" s="159"/>
      <c r="F11" s="158">
        <v>82000</v>
      </c>
      <c r="G11" s="159"/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ref="P11:P19" si="6">IF((LEFT(B11,4)="1025"),F11*R11*DATEDIF(DATE(YEAR(Q11),MONTH(Q11)-1,DAY(Q11)),Q11,"d")/360,0)</f>
        <v>211.83333333333334</v>
      </c>
      <c r="Q11" s="146">
        <v>42696</v>
      </c>
      <c r="R11" s="227">
        <v>0.03</v>
      </c>
      <c r="S11" s="191" t="s">
        <v>419</v>
      </c>
    </row>
    <row r="12" spans="1:20" s="154" customFormat="1" ht="17.25" customHeight="1">
      <c r="A12" s="180">
        <f t="shared" si="3"/>
        <v>3</v>
      </c>
      <c r="B12" s="156" t="s">
        <v>418</v>
      </c>
      <c r="C12" s="157">
        <v>42660</v>
      </c>
      <c r="D12" s="157">
        <v>42842</v>
      </c>
      <c r="E12" s="159"/>
      <c r="F12" s="158">
        <v>96000</v>
      </c>
      <c r="G12" s="159"/>
      <c r="H12" s="157"/>
      <c r="I12" s="158"/>
      <c r="J12" s="158"/>
      <c r="K12" s="150"/>
      <c r="L12" s="147">
        <f t="shared" si="4"/>
        <v>96000</v>
      </c>
      <c r="M12" s="158"/>
      <c r="N12" s="158"/>
      <c r="O12" s="161">
        <f t="shared" si="5"/>
        <v>0</v>
      </c>
      <c r="P12" s="161">
        <f>IF((LEFT(B12,4)="1025"),F12*R12*DATEDIF(DATE(YEAR(Q12),MONTH(Q12)-1,DAY(Q12)),Q12,"d")/360,0)</f>
        <v>248</v>
      </c>
      <c r="Q12" s="146">
        <v>42696</v>
      </c>
      <c r="R12" s="227">
        <v>0.03</v>
      </c>
      <c r="S12" s="191" t="s">
        <v>420</v>
      </c>
    </row>
    <row r="13" spans="1:20" s="154" customFormat="1" ht="17.25" customHeight="1">
      <c r="A13" s="180">
        <f t="shared" si="3"/>
        <v>4</v>
      </c>
      <c r="B13" s="156" t="s">
        <v>417</v>
      </c>
      <c r="C13" s="157">
        <v>42649</v>
      </c>
      <c r="D13" s="157">
        <v>42831</v>
      </c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248</v>
      </c>
      <c r="Q13" s="146">
        <v>42696</v>
      </c>
      <c r="R13" s="227">
        <v>0.03</v>
      </c>
      <c r="S13" s="191" t="s">
        <v>420</v>
      </c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42696</v>
      </c>
      <c r="R14" s="227">
        <v>0.03</v>
      </c>
      <c r="S14" s="163" t="s">
        <v>421</v>
      </c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231.20833333333334</v>
      </c>
      <c r="Q15" s="146">
        <v>42696</v>
      </c>
      <c r="R15" s="227">
        <v>0.03</v>
      </c>
      <c r="S15" s="163" t="s">
        <v>421</v>
      </c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229.91666666666666</v>
      </c>
      <c r="Q16" s="146">
        <v>42696</v>
      </c>
      <c r="R16" s="227">
        <v>0.03</v>
      </c>
      <c r="S16" s="163" t="s">
        <v>421</v>
      </c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42696</v>
      </c>
      <c r="R17" s="227">
        <v>0.03</v>
      </c>
      <c r="S17" s="191" t="s">
        <v>419</v>
      </c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42696</v>
      </c>
      <c r="R18" s="227">
        <v>0.03</v>
      </c>
      <c r="S18" s="191" t="s">
        <v>419</v>
      </c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42696</v>
      </c>
      <c r="R19" s="227">
        <v>0.03</v>
      </c>
      <c r="S19" s="191" t="s">
        <v>419</v>
      </c>
    </row>
    <row r="20" spans="1:20" s="154" customFormat="1" ht="17.25" customHeight="1">
      <c r="A20" s="180">
        <f t="shared" si="3"/>
        <v>11</v>
      </c>
      <c r="B20" s="156"/>
      <c r="C20" s="201">
        <v>42674</v>
      </c>
      <c r="D20" s="157">
        <v>42729</v>
      </c>
      <c r="E20" s="203"/>
      <c r="F20" s="202">
        <v>33400</v>
      </c>
      <c r="G20" s="203"/>
      <c r="H20" s="201"/>
      <c r="I20" s="202"/>
      <c r="J20" s="202"/>
      <c r="K20" s="150"/>
      <c r="L20" s="147">
        <f t="shared" si="4"/>
        <v>33400</v>
      </c>
      <c r="M20" s="202"/>
      <c r="N20" s="203"/>
      <c r="O20" s="161"/>
      <c r="P20" s="161"/>
      <c r="Q20" s="146"/>
      <c r="R20" s="227"/>
      <c r="S20" s="191" t="s">
        <v>422</v>
      </c>
    </row>
    <row r="21" spans="1:20" s="154" customFormat="1" ht="17.25" customHeight="1">
      <c r="A21" s="180">
        <f t="shared" si="3"/>
        <v>12</v>
      </c>
      <c r="B21" s="156"/>
      <c r="C21" s="201"/>
      <c r="D21" s="157"/>
      <c r="E21" s="203"/>
      <c r="F21" s="202"/>
      <c r="G21" s="203"/>
      <c r="H21" s="201"/>
      <c r="I21" s="202"/>
      <c r="J21" s="202"/>
      <c r="K21" s="150"/>
      <c r="L21" s="147"/>
      <c r="M21" s="202"/>
      <c r="N21" s="203"/>
      <c r="O21" s="161"/>
      <c r="P21" s="161"/>
      <c r="Q21" s="146"/>
      <c r="R21" s="227"/>
      <c r="S21" s="191"/>
    </row>
    <row r="22" spans="1:20" s="154" customFormat="1" ht="17.25" customHeight="1">
      <c r="A22" s="180"/>
      <c r="B22" s="156"/>
      <c r="C22" s="201"/>
      <c r="D22" s="157"/>
      <c r="E22" s="202"/>
      <c r="F22" s="202"/>
      <c r="G22" s="203"/>
      <c r="H22" s="201"/>
      <c r="I22" s="202"/>
      <c r="J22" s="202"/>
      <c r="K22" s="147"/>
      <c r="L22" s="147"/>
      <c r="M22" s="202"/>
      <c r="N22" s="202"/>
      <c r="O22" s="158"/>
      <c r="P22" s="158"/>
      <c r="Q22" s="146"/>
      <c r="R22" s="227"/>
      <c r="S22" s="191"/>
    </row>
    <row r="23" spans="1:20" s="208" customFormat="1" ht="17.25" customHeight="1">
      <c r="A23" s="272" t="s">
        <v>343</v>
      </c>
      <c r="B23" s="272"/>
      <c r="C23" s="205"/>
      <c r="D23" s="205"/>
      <c r="E23" s="175">
        <f>SUM(E4:E22)</f>
        <v>0</v>
      </c>
      <c r="F23" s="176">
        <f>SUM(F10:F22)</f>
        <v>965400</v>
      </c>
      <c r="G23" s="175">
        <f>SUM(G4:G16)</f>
        <v>0</v>
      </c>
      <c r="H23" s="174"/>
      <c r="I23" s="176">
        <f>SUM(I10:I22)</f>
        <v>0</v>
      </c>
      <c r="J23" s="176">
        <f>SUM(J10:J22)</f>
        <v>0</v>
      </c>
      <c r="K23" s="176">
        <f>SUM(K10:K22)</f>
        <v>0</v>
      </c>
      <c r="L23" s="176">
        <f>SUM(L10:L22)</f>
        <v>965400</v>
      </c>
      <c r="M23" s="176">
        <f>SUM(M4:M14)</f>
        <v>0</v>
      </c>
      <c r="N23" s="176"/>
      <c r="O23" s="176">
        <f>SUM(O10:O22)</f>
        <v>0</v>
      </c>
      <c r="P23" s="176">
        <f>SUM(P10:P22)</f>
        <v>2407.666666666667</v>
      </c>
      <c r="Q23" s="206"/>
      <c r="R23" s="207"/>
      <c r="S23" s="178"/>
    </row>
    <row r="24" spans="1:20" s="186" customFormat="1" ht="17.25" customHeight="1">
      <c r="A24" s="180">
        <f>ROW()-26</f>
        <v>-2</v>
      </c>
      <c r="B24" s="187" t="s">
        <v>310</v>
      </c>
      <c r="C24" s="188">
        <v>41870</v>
      </c>
      <c r="D24" s="188">
        <v>46253</v>
      </c>
      <c r="E24" s="189">
        <v>983320000</v>
      </c>
      <c r="F24" s="161"/>
      <c r="G24" s="189"/>
      <c r="H24" s="188">
        <v>42693</v>
      </c>
      <c r="I24" s="189">
        <v>8340000</v>
      </c>
      <c r="J24" s="161"/>
      <c r="K24" s="189">
        <f t="shared" ref="K24:K38" si="7">E24-I24</f>
        <v>974980000</v>
      </c>
      <c r="L24" s="161"/>
      <c r="M24" s="189">
        <f>IF((LEFT(B24,4)="1402"),E24*R24*DATEDIF(DATE(YEAR(Q24),MONTH(Q24)-1,IF(MONTH(C24)=(MONTH(Q24)-1),DAY(C24),16)),Q24,"d")/360,0)</f>
        <v>8044103.888888889</v>
      </c>
      <c r="N24" s="161"/>
      <c r="O24" s="161">
        <f>IF((LEFT(B24,4)="1402"),F24*R24*DATEDIF(DATE(YEAR(Q24),MONTH(Q24)-1,IF(MONTH(C24)=(MONTH(Q24)-1),DAY(C24),16)),Q24,"d")/360,0)</f>
        <v>0</v>
      </c>
      <c r="P24" s="161">
        <f t="shared" ref="P24:P38" si="8">IF((LEFT(B24,4)="1015"),F24*R24*DATEDIF(Q24,Q$1,"d")/360,0)</f>
        <v>0</v>
      </c>
      <c r="Q24" s="230">
        <v>42632</v>
      </c>
      <c r="R24" s="228">
        <v>9.5000000000000001E-2</v>
      </c>
      <c r="S24" s="210" t="s">
        <v>311</v>
      </c>
    </row>
    <row r="25" spans="1:20" s="186" customFormat="1" ht="17.25" customHeight="1">
      <c r="A25" s="180">
        <f t="shared" ref="A25:A38" si="9">ROW()-26</f>
        <v>-1</v>
      </c>
      <c r="B25" s="187" t="s">
        <v>312</v>
      </c>
      <c r="C25" s="188">
        <v>41905</v>
      </c>
      <c r="D25" s="188">
        <v>46253</v>
      </c>
      <c r="E25" s="189">
        <v>1966660000</v>
      </c>
      <c r="F25" s="161"/>
      <c r="G25" s="189"/>
      <c r="H25" s="188">
        <v>42693</v>
      </c>
      <c r="I25" s="189">
        <v>16670000</v>
      </c>
      <c r="J25" s="161"/>
      <c r="K25" s="189">
        <f t="shared" si="7"/>
        <v>1949990000</v>
      </c>
      <c r="L25" s="161"/>
      <c r="M25" s="189">
        <f t="shared" ref="M25:M37" si="10">IF((LEFT(B25,4)="1402"),E25*R25*DATEDIF(DATE(YEAR(Q25),MONTH(Q25)-1,IF(MONTH(C25)=(MONTH(Q25)-1),DAY(C25),16)),Q25,"d")/360,0)</f>
        <v>17645310.555555556</v>
      </c>
      <c r="N25" s="161"/>
      <c r="O25" s="161">
        <f t="shared" ref="O25:O38" si="11">IF((LEFT(B25,4)="1402"),F25*R25*DATEDIF(DATE(YEAR(Q25),MONTH(Q25)-1,IF(MONTH(C25)=(MONTH(Q25)-1),DAY(C25),16)),Q25,"d")/360,0)</f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313</v>
      </c>
      <c r="C26" s="211">
        <v>41934</v>
      </c>
      <c r="D26" s="188">
        <v>46253</v>
      </c>
      <c r="E26" s="212">
        <v>1573320000</v>
      </c>
      <c r="F26" s="213"/>
      <c r="G26" s="212"/>
      <c r="H26" s="188">
        <v>42693</v>
      </c>
      <c r="I26" s="212">
        <v>13340000</v>
      </c>
      <c r="J26" s="213"/>
      <c r="K26" s="189">
        <f t="shared" si="7"/>
        <v>1559980000</v>
      </c>
      <c r="L26" s="213"/>
      <c r="M26" s="189">
        <f t="shared" si="10"/>
        <v>14116176.666666666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314</v>
      </c>
      <c r="C27" s="211">
        <v>41963</v>
      </c>
      <c r="D27" s="188">
        <v>46253</v>
      </c>
      <c r="E27" s="212">
        <v>1475000000</v>
      </c>
      <c r="F27" s="213"/>
      <c r="G27" s="212"/>
      <c r="H27" s="188">
        <v>42693</v>
      </c>
      <c r="I27" s="212">
        <v>12500000</v>
      </c>
      <c r="J27" s="213"/>
      <c r="K27" s="189">
        <f t="shared" si="7"/>
        <v>1462500000</v>
      </c>
      <c r="L27" s="213"/>
      <c r="M27" s="189">
        <f t="shared" si="10"/>
        <v>13234027.777777778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315</v>
      </c>
      <c r="C28" s="211">
        <v>41984</v>
      </c>
      <c r="D28" s="188">
        <v>46253</v>
      </c>
      <c r="E28" s="212">
        <v>983340000</v>
      </c>
      <c r="F28" s="213"/>
      <c r="G28" s="212"/>
      <c r="H28" s="188">
        <v>42693</v>
      </c>
      <c r="I28" s="212">
        <v>8330000</v>
      </c>
      <c r="J28" s="213"/>
      <c r="K28" s="212">
        <f t="shared" si="7"/>
        <v>975010000</v>
      </c>
      <c r="L28" s="213"/>
      <c r="M28" s="189">
        <f t="shared" si="10"/>
        <v>8822745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316</v>
      </c>
      <c r="C29" s="211">
        <v>42033</v>
      </c>
      <c r="D29" s="188">
        <v>46253</v>
      </c>
      <c r="E29" s="212">
        <v>1475000000</v>
      </c>
      <c r="F29" s="213"/>
      <c r="G29" s="212"/>
      <c r="H29" s="188">
        <v>42693</v>
      </c>
      <c r="I29" s="212">
        <v>12500000</v>
      </c>
      <c r="J29" s="213"/>
      <c r="K29" s="212">
        <f t="shared" si="7"/>
        <v>1462500000</v>
      </c>
      <c r="L29" s="213"/>
      <c r="M29" s="189">
        <f t="shared" si="10"/>
        <v>13234027.777777778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317</v>
      </c>
      <c r="C30" s="211">
        <v>42088</v>
      </c>
      <c r="D30" s="188">
        <v>46253</v>
      </c>
      <c r="E30" s="212">
        <v>1966660000</v>
      </c>
      <c r="F30" s="213"/>
      <c r="G30" s="212"/>
      <c r="H30" s="188">
        <v>42693</v>
      </c>
      <c r="I30" s="212">
        <v>16670000</v>
      </c>
      <c r="J30" s="213"/>
      <c r="K30" s="212">
        <f t="shared" si="7"/>
        <v>1949990000</v>
      </c>
      <c r="L30" s="213"/>
      <c r="M30" s="189">
        <f t="shared" si="10"/>
        <v>17645310.555555556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318</v>
      </c>
      <c r="C31" s="211">
        <v>42114</v>
      </c>
      <c r="D31" s="188">
        <v>46253</v>
      </c>
      <c r="E31" s="212">
        <v>1376660000</v>
      </c>
      <c r="F31" s="213"/>
      <c r="G31" s="212"/>
      <c r="H31" s="188">
        <v>42693</v>
      </c>
      <c r="I31" s="212">
        <v>11670000</v>
      </c>
      <c r="J31" s="213"/>
      <c r="K31" s="212">
        <f t="shared" si="7"/>
        <v>1364990000</v>
      </c>
      <c r="L31" s="213"/>
      <c r="M31" s="189">
        <f t="shared" si="10"/>
        <v>12351699.444444444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319</v>
      </c>
      <c r="C32" s="211">
        <v>42138</v>
      </c>
      <c r="D32" s="188">
        <v>46253</v>
      </c>
      <c r="E32" s="212">
        <v>1475000000</v>
      </c>
      <c r="F32" s="213"/>
      <c r="G32" s="212"/>
      <c r="H32" s="188">
        <v>42693</v>
      </c>
      <c r="I32" s="212">
        <v>12500000</v>
      </c>
      <c r="J32" s="213"/>
      <c r="K32" s="212">
        <f t="shared" si="7"/>
        <v>1462500000</v>
      </c>
      <c r="L32" s="213"/>
      <c r="M32" s="189">
        <f t="shared" si="10"/>
        <v>13234027.777777778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320</v>
      </c>
      <c r="C33" s="211">
        <v>42164</v>
      </c>
      <c r="D33" s="188">
        <v>46253</v>
      </c>
      <c r="E33" s="212">
        <v>1475000000</v>
      </c>
      <c r="F33" s="213"/>
      <c r="G33" s="212"/>
      <c r="H33" s="188">
        <v>42693</v>
      </c>
      <c r="I33" s="212">
        <v>12500000</v>
      </c>
      <c r="J33" s="213"/>
      <c r="K33" s="212">
        <f t="shared" si="7"/>
        <v>1462500000</v>
      </c>
      <c r="L33" s="213"/>
      <c r="M33" s="189">
        <f t="shared" si="10"/>
        <v>13234027.777777778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321</v>
      </c>
      <c r="C34" s="211">
        <v>42187</v>
      </c>
      <c r="D34" s="188">
        <v>46253</v>
      </c>
      <c r="E34" s="212">
        <v>1475000000</v>
      </c>
      <c r="F34" s="213"/>
      <c r="G34" s="212"/>
      <c r="H34" s="188">
        <v>42693</v>
      </c>
      <c r="I34" s="212">
        <v>12500000</v>
      </c>
      <c r="J34" s="213"/>
      <c r="K34" s="212">
        <f t="shared" si="7"/>
        <v>1462500000</v>
      </c>
      <c r="L34" s="213"/>
      <c r="M34" s="189">
        <f t="shared" si="10"/>
        <v>13234027.777777778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322</v>
      </c>
      <c r="C35" s="211">
        <v>42195</v>
      </c>
      <c r="D35" s="188">
        <v>46253</v>
      </c>
      <c r="E35" s="212">
        <v>1475000000</v>
      </c>
      <c r="F35" s="213"/>
      <c r="G35" s="212"/>
      <c r="H35" s="188">
        <v>42693</v>
      </c>
      <c r="I35" s="212">
        <v>12500000</v>
      </c>
      <c r="J35" s="213"/>
      <c r="K35" s="212">
        <f t="shared" si="7"/>
        <v>1462500000</v>
      </c>
      <c r="L35" s="213"/>
      <c r="M35" s="189">
        <f t="shared" si="10"/>
        <v>13234027.777777778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323</v>
      </c>
      <c r="C36" s="211">
        <v>42215</v>
      </c>
      <c r="D36" s="188">
        <v>46253</v>
      </c>
      <c r="E36" s="212">
        <v>983340000</v>
      </c>
      <c r="F36" s="213"/>
      <c r="G36" s="212"/>
      <c r="H36" s="188">
        <v>42693</v>
      </c>
      <c r="I36" s="212">
        <v>8330000</v>
      </c>
      <c r="J36" s="213"/>
      <c r="K36" s="212">
        <f t="shared" si="7"/>
        <v>975010000</v>
      </c>
      <c r="L36" s="213"/>
      <c r="M36" s="189">
        <f t="shared" si="10"/>
        <v>8822745</v>
      </c>
      <c r="N36" s="213"/>
      <c r="O36" s="161">
        <f t="shared" si="11"/>
        <v>0</v>
      </c>
      <c r="P36" s="161">
        <f t="shared" si="8"/>
        <v>0</v>
      </c>
      <c r="Q36" s="230">
        <v>42632</v>
      </c>
      <c r="R36" s="228">
        <v>9.5000000000000001E-2</v>
      </c>
      <c r="S36" s="191" t="s">
        <v>311</v>
      </c>
    </row>
    <row r="37" spans="1:19" s="186" customFormat="1" ht="17.25" customHeight="1">
      <c r="A37" s="180">
        <f t="shared" si="9"/>
        <v>11</v>
      </c>
      <c r="B37" s="187" t="s">
        <v>324</v>
      </c>
      <c r="C37" s="211">
        <v>42229</v>
      </c>
      <c r="D37" s="188">
        <v>46253</v>
      </c>
      <c r="E37" s="212">
        <v>983340000</v>
      </c>
      <c r="F37" s="213"/>
      <c r="G37" s="212"/>
      <c r="H37" s="188">
        <v>42693</v>
      </c>
      <c r="I37" s="212">
        <v>8330000</v>
      </c>
      <c r="J37" s="213"/>
      <c r="K37" s="212">
        <f t="shared" si="7"/>
        <v>975010000</v>
      </c>
      <c r="L37" s="213"/>
      <c r="M37" s="189">
        <f t="shared" si="10"/>
        <v>9601222.5</v>
      </c>
      <c r="N37" s="213"/>
      <c r="O37" s="161">
        <f t="shared" si="11"/>
        <v>0</v>
      </c>
      <c r="P37" s="161">
        <f t="shared" si="8"/>
        <v>0</v>
      </c>
      <c r="Q37" s="230">
        <v>42632</v>
      </c>
      <c r="R37" s="228">
        <v>9.5000000000000001E-2</v>
      </c>
      <c r="S37" s="191" t="s">
        <v>311</v>
      </c>
    </row>
    <row r="38" spans="1:19" s="186" customFormat="1" ht="17.25" customHeight="1">
      <c r="A38" s="180">
        <f t="shared" si="9"/>
        <v>12</v>
      </c>
      <c r="B38" s="187" t="s">
        <v>344</v>
      </c>
      <c r="C38" s="211">
        <v>42543</v>
      </c>
      <c r="D38" s="211">
        <v>42726</v>
      </c>
      <c r="E38" s="212"/>
      <c r="F38" s="213">
        <v>88000</v>
      </c>
      <c r="G38" s="212"/>
      <c r="H38" s="211"/>
      <c r="I38" s="212"/>
      <c r="J38" s="213"/>
      <c r="K38" s="212">
        <f t="shared" si="7"/>
        <v>0</v>
      </c>
      <c r="L38" s="213">
        <f>F38</f>
        <v>88000</v>
      </c>
      <c r="M38" s="189"/>
      <c r="N38" s="213"/>
      <c r="O38" s="161">
        <f t="shared" si="11"/>
        <v>293.33333333333331</v>
      </c>
      <c r="P38" s="161">
        <f t="shared" si="8"/>
        <v>0</v>
      </c>
      <c r="Q38" s="230">
        <v>42628</v>
      </c>
      <c r="R38" s="228">
        <v>0.04</v>
      </c>
      <c r="S38" s="191"/>
    </row>
    <row r="39" spans="1:19" s="186" customFormat="1" ht="17.25" hidden="1" customHeight="1">
      <c r="A39" s="180"/>
      <c r="B39" s="187"/>
      <c r="C39" s="211"/>
      <c r="D39" s="211"/>
      <c r="E39" s="212"/>
      <c r="F39" s="213"/>
      <c r="G39" s="212"/>
      <c r="H39" s="211"/>
      <c r="I39" s="212"/>
      <c r="J39" s="213"/>
      <c r="K39" s="212"/>
      <c r="L39" s="213"/>
      <c r="M39" s="212"/>
      <c r="N39" s="213"/>
      <c r="O39" s="213"/>
      <c r="P39" s="213"/>
      <c r="Q39" s="209"/>
      <c r="R39" s="190"/>
      <c r="S39" s="191"/>
    </row>
    <row r="40" spans="1:19" s="154" customFormat="1" ht="17.25" customHeight="1">
      <c r="A40" s="144"/>
      <c r="B40" s="156"/>
      <c r="C40" s="201"/>
      <c r="D40" s="201"/>
      <c r="E40" s="203"/>
      <c r="F40" s="202"/>
      <c r="G40" s="203"/>
      <c r="H40" s="201"/>
      <c r="I40" s="203"/>
      <c r="J40" s="202"/>
      <c r="K40" s="203"/>
      <c r="L40" s="202"/>
      <c r="M40" s="203"/>
      <c r="N40" s="202"/>
      <c r="O40" s="202"/>
      <c r="P40" s="202"/>
      <c r="Q40" s="146"/>
      <c r="R40" s="200"/>
      <c r="S40" s="163"/>
    </row>
    <row r="41" spans="1:19" s="208" customFormat="1" ht="17.25" customHeight="1">
      <c r="A41" s="272" t="s">
        <v>326</v>
      </c>
      <c r="B41" s="272"/>
      <c r="C41" s="205"/>
      <c r="D41" s="205"/>
      <c r="E41" s="175">
        <f>SUM(E24:E40)</f>
        <v>19666640000</v>
      </c>
      <c r="F41" s="176">
        <f>SUM(F24:F40)</f>
        <v>88000</v>
      </c>
      <c r="G41" s="175">
        <f>SUM(G24:G40)</f>
        <v>0</v>
      </c>
      <c r="H41" s="176"/>
      <c r="I41" s="175">
        <f t="shared" ref="I41:P41" si="12">SUM(I24:I40)</f>
        <v>166680000</v>
      </c>
      <c r="J41" s="176">
        <f t="shared" si="12"/>
        <v>0</v>
      </c>
      <c r="K41" s="175">
        <f t="shared" si="12"/>
        <v>19499960000</v>
      </c>
      <c r="L41" s="176">
        <f t="shared" si="12"/>
        <v>88000</v>
      </c>
      <c r="M41" s="175">
        <f t="shared" si="12"/>
        <v>176453480.27777779</v>
      </c>
      <c r="N41" s="176">
        <f t="shared" si="12"/>
        <v>0</v>
      </c>
      <c r="O41" s="176">
        <f t="shared" si="12"/>
        <v>293.33333333333331</v>
      </c>
      <c r="P41" s="176">
        <f t="shared" si="12"/>
        <v>0</v>
      </c>
      <c r="Q41" s="206"/>
      <c r="R41" s="207"/>
      <c r="S41" s="178"/>
    </row>
    <row r="42" spans="1:19" ht="17.25" customHeight="1">
      <c r="F42" s="218"/>
    </row>
    <row r="43" spans="1:19" ht="17.25" customHeight="1">
      <c r="F43" s="215"/>
    </row>
    <row r="44" spans="1:19" ht="17.25" customHeight="1">
      <c r="F44" s="215"/>
    </row>
    <row r="45" spans="1:19" ht="17.25" customHeight="1">
      <c r="F45" s="215"/>
    </row>
    <row r="47" spans="1:19" ht="17.25" customHeight="1">
      <c r="F47" s="218"/>
    </row>
    <row r="55" spans="1:19" s="223" customFormat="1" ht="17.25" customHeight="1">
      <c r="A55" s="214"/>
      <c r="B55" s="215"/>
      <c r="C55" s="216"/>
      <c r="D55" s="216"/>
      <c r="E55" s="217"/>
      <c r="F55" s="221"/>
      <c r="G55" s="217"/>
      <c r="H55" s="219"/>
      <c r="I55" s="220"/>
      <c r="J55" s="220"/>
      <c r="K55" s="217"/>
      <c r="L55" s="221"/>
      <c r="M55" s="225"/>
      <c r="N55" s="225"/>
      <c r="O55" s="225"/>
      <c r="Q55" s="224"/>
      <c r="R55" s="224"/>
      <c r="S55" s="214"/>
    </row>
  </sheetData>
  <autoFilter ref="A3:S23"/>
  <mergeCells count="12">
    <mergeCell ref="M2:Q2"/>
    <mergeCell ref="R2:R3"/>
    <mergeCell ref="S2:S3"/>
    <mergeCell ref="A9:B9"/>
    <mergeCell ref="A23:B23"/>
    <mergeCell ref="H2:J2"/>
    <mergeCell ref="K2:L2"/>
    <mergeCell ref="A41:B41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tabSelected="1" view="pageBreakPreview" zoomScale="110" zoomScaleNormal="110" zoomScaleSheetLayoutView="110" workbookViewId="0">
      <pane ySplit="32" topLeftCell="A45" activePane="bottomLeft" state="frozen"/>
      <selection pane="bottomLeft" activeCell="V2" sqref="V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29</v>
      </c>
      <c r="T2" s="10">
        <v>42710</v>
      </c>
      <c r="U2" s="11"/>
      <c r="V2" s="12" t="s">
        <v>24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 xml:space="preserve">CTY TNHH HẢI SẢN AN LẠC 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1015 148 5100 9180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11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DNTN THỦY ĐỒNG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0500 3899 2421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Sacombank-PGD Lagi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Bình Thuận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Một tỷ, tám trăm hai mươi bốn triệu, chín trăm hai mươi ngàn, năm trăm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65" t="s">
        <v>63</v>
      </c>
      <c r="O20" s="265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266" t="s">
        <v>64</v>
      </c>
      <c r="O21" s="266"/>
      <c r="P21" s="32"/>
    </row>
    <row r="22" spans="1:16">
      <c r="A22" s="18"/>
      <c r="B22" s="18"/>
      <c r="M22" s="31"/>
      <c r="N22" s="50">
        <f>IF($R$2="VNĐ",VLOOKUP("X1",DS,16,0),VLOOKUP("X1",DS,15,0))</f>
        <v>1824920500</v>
      </c>
      <c r="O22" s="44" t="str">
        <f>R2</f>
        <v>VNĐ</v>
      </c>
      <c r="P22" s="32"/>
    </row>
    <row r="23" spans="1:16" ht="12" customHeight="1">
      <c r="A23" s="17" t="s">
        <v>65</v>
      </c>
      <c r="B23" s="15"/>
      <c r="C23" s="52" t="str">
        <f>VLOOKUP("X1",DS,14,0)</f>
        <v>Thanh toán tiền hàng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view="pageBreakPreview" zoomScaleSheetLayoutView="100" workbookViewId="0">
      <pane ySplit="18" topLeftCell="A19" activePane="bottomLeft" state="frozen"/>
      <selection pane="bottomLeft" activeCell="S2" sqref="S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2.28515625" style="1" customWidth="1"/>
    <col min="5" max="5" width="5.710937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7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8" customHeight="1" thickBot="1">
      <c r="A1" s="8" t="str">
        <f>IF($O$2="vnđ","p","p1")</f>
        <v>p</v>
      </c>
      <c r="N1" s="8"/>
    </row>
    <row r="2" spans="1:19" ht="21.75" customHeight="1" thickBot="1">
      <c r="O2" s="13" t="s">
        <v>29</v>
      </c>
      <c r="Q2" s="10">
        <v>42710</v>
      </c>
      <c r="R2" s="11"/>
      <c r="S2" s="12" t="s">
        <v>25</v>
      </c>
    </row>
    <row r="6" spans="1:19" ht="21" customHeight="1">
      <c r="G6" s="1" t="s">
        <v>2</v>
      </c>
    </row>
    <row r="7" spans="1:19" ht="17.25" customHeight="1">
      <c r="E7" s="2" t="str">
        <f>IF($O$2="USD"," 3    7    0    0    0   0   0    0   6   0    7    2"," 0    0    0    0    0   0   0    0   6   0    7    2")</f>
        <v xml:space="preserve"> 0    0    0    0    0   0   0    0   6   0    7    2</v>
      </c>
      <c r="L7" s="1" t="s">
        <v>7</v>
      </c>
    </row>
    <row r="8" spans="1:19" ht="22.5" customHeight="1">
      <c r="F8" s="267">
        <f>IF($O$2="VNĐ",VLOOKUP("X",DS,16,0),VLOOKUP("X",DS,15,0))</f>
        <v>552669000</v>
      </c>
      <c r="G8" s="267"/>
      <c r="K8" s="1" t="str">
        <f>IF(O2="vnđ","x","")</f>
        <v>x</v>
      </c>
      <c r="L8" s="1" t="str">
        <f>IF(O2="usd","x","")</f>
        <v/>
      </c>
    </row>
    <row r="9" spans="1:19" ht="17.25" customHeight="1">
      <c r="F9" s="1" t="str">
        <f>[1]!VND(F8,FALSE)&amp;IF($O$2="USD"," đô la mỹ."," đồng.")</f>
        <v>Năm trăm năm mươi hai triệu, sáu trăm sáu mươi chín ngàn đồng.</v>
      </c>
    </row>
    <row r="10" spans="1:19" ht="16.5" customHeight="1">
      <c r="G10" s="1" t="s">
        <v>3</v>
      </c>
    </row>
    <row r="11" spans="1:19" ht="17.25" customHeight="1">
      <c r="F11" s="1" t="str">
        <f>VLOOKUP("X",DS,14,0)</f>
        <v>Thanh toán tiền hàng</v>
      </c>
    </row>
    <row r="13" spans="1:19" ht="25.5" customHeight="1">
      <c r="F13" s="14" t="str">
        <f>VLOOKUP("X",DS,6,0)</f>
        <v>DNTN THỦY SẢN PHƯƠNG MAI</v>
      </c>
      <c r="G13" s="14"/>
    </row>
    <row r="14" spans="1:19" ht="17.25" customHeight="1"/>
    <row r="16" spans="1:19" ht="24" customHeight="1">
      <c r="C16" s="1" t="s">
        <v>3</v>
      </c>
      <c r="E16" s="1" t="str">
        <f>VLOOKUP("X",DS,7,0)</f>
        <v>7504 201 003 221</v>
      </c>
    </row>
    <row r="17" spans="5:5" ht="15" customHeight="1">
      <c r="E17" s="1" t="str">
        <f>VLOOKUP("X",DS,8,0)&amp;", "&amp;VLOOKUP("X",DS,9,0)</f>
        <v>Agribank - Sông Đốc, Trần Văn Thời, Cà Mau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67">
        <f>VLOOKUP("X2",DS,16,0)</f>
        <v>1100000000</v>
      </c>
      <c r="F8" s="267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149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271">
        <f>VLOOKUP("X3",DS,11,0)</f>
        <v>41051</v>
      </c>
      <c r="M17" s="271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68" t="s">
        <v>63</v>
      </c>
      <c r="O21" s="269"/>
      <c r="P21" s="269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270" t="s">
        <v>64</v>
      </c>
      <c r="O22" s="266"/>
      <c r="P22" s="266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22" customWidth="1"/>
    <col min="2" max="2" width="35.28515625" style="122" customWidth="1"/>
    <col min="3" max="4" width="35.5703125" style="122" customWidth="1"/>
    <col min="5" max="16384" width="9.140625" style="122"/>
  </cols>
  <sheetData>
    <row r="1" spans="1:4" s="118" customFormat="1" ht="23.25" customHeight="1">
      <c r="A1" s="117" t="s">
        <v>237</v>
      </c>
      <c r="B1" s="117" t="s">
        <v>238</v>
      </c>
      <c r="C1" s="117" t="s">
        <v>239</v>
      </c>
      <c r="D1" s="117"/>
    </row>
    <row r="2" spans="1:4" s="118" customFormat="1" ht="23.25" customHeight="1">
      <c r="A2" s="119" t="s">
        <v>240</v>
      </c>
      <c r="B2" s="119" t="s">
        <v>241</v>
      </c>
      <c r="C2" s="119" t="s">
        <v>241</v>
      </c>
      <c r="D2" s="119" t="s">
        <v>242</v>
      </c>
    </row>
    <row r="3" spans="1:4" s="118" customFormat="1" ht="23.25" customHeight="1">
      <c r="A3" s="120" t="s">
        <v>243</v>
      </c>
      <c r="B3" s="120" t="s">
        <v>244</v>
      </c>
      <c r="C3" s="120" t="s">
        <v>245</v>
      </c>
      <c r="D3" s="120" t="s">
        <v>246</v>
      </c>
    </row>
    <row r="4" spans="1:4" s="118" customFormat="1" ht="23.25" customHeight="1">
      <c r="A4" s="121" t="s">
        <v>247</v>
      </c>
      <c r="B4" s="121" t="s">
        <v>248</v>
      </c>
      <c r="C4" s="121" t="s">
        <v>249</v>
      </c>
      <c r="D4" s="121" t="s">
        <v>250</v>
      </c>
    </row>
    <row r="5" spans="1:4" s="118" customFormat="1" ht="23.25" customHeight="1">
      <c r="A5" s="117"/>
      <c r="B5" s="117" t="s">
        <v>251</v>
      </c>
      <c r="C5" s="117" t="s">
        <v>252</v>
      </c>
      <c r="D5" s="117"/>
    </row>
    <row r="6" spans="1:4" s="118" customFormat="1" ht="23.25" customHeight="1">
      <c r="A6" s="119" t="s">
        <v>242</v>
      </c>
      <c r="B6" s="119" t="s">
        <v>253</v>
      </c>
      <c r="C6" s="119" t="s">
        <v>253</v>
      </c>
      <c r="D6" s="119" t="s">
        <v>242</v>
      </c>
    </row>
    <row r="7" spans="1:4" s="118" customFormat="1" ht="23.25" customHeight="1">
      <c r="A7" s="120" t="s">
        <v>246</v>
      </c>
      <c r="B7" s="120" t="s">
        <v>254</v>
      </c>
      <c r="C7" s="120" t="s">
        <v>255</v>
      </c>
      <c r="D7" s="120" t="s">
        <v>246</v>
      </c>
    </row>
    <row r="8" spans="1:4" s="118" customFormat="1" ht="23.25" customHeight="1">
      <c r="A8" s="121" t="s">
        <v>250</v>
      </c>
      <c r="B8" s="121" t="s">
        <v>256</v>
      </c>
      <c r="C8" s="121" t="s">
        <v>257</v>
      </c>
      <c r="D8" s="121" t="s">
        <v>250</v>
      </c>
    </row>
    <row r="9" spans="1:4" s="118" customFormat="1" ht="23.25" customHeight="1">
      <c r="A9" s="117"/>
      <c r="B9" s="117" t="s">
        <v>258</v>
      </c>
      <c r="C9" s="117" t="s">
        <v>259</v>
      </c>
      <c r="D9" s="117"/>
    </row>
    <row r="10" spans="1:4" s="118" customFormat="1" ht="23.25" customHeight="1">
      <c r="A10" s="119" t="s">
        <v>242</v>
      </c>
      <c r="B10" s="119" t="s">
        <v>260</v>
      </c>
      <c r="C10" s="119" t="s">
        <v>260</v>
      </c>
      <c r="D10" s="119" t="s">
        <v>242</v>
      </c>
    </row>
    <row r="11" spans="1:4" s="118" customFormat="1" ht="23.25" customHeight="1">
      <c r="A11" s="120" t="s">
        <v>246</v>
      </c>
      <c r="B11" s="120" t="s">
        <v>261</v>
      </c>
      <c r="C11" s="120" t="s">
        <v>262</v>
      </c>
      <c r="D11" s="120" t="s">
        <v>246</v>
      </c>
    </row>
    <row r="12" spans="1:4" s="118" customFormat="1" ht="23.25" customHeight="1">
      <c r="A12" s="121" t="s">
        <v>250</v>
      </c>
      <c r="B12" s="121" t="s">
        <v>256</v>
      </c>
      <c r="C12" s="121" t="s">
        <v>257</v>
      </c>
      <c r="D12" s="121" t="s">
        <v>250</v>
      </c>
    </row>
    <row r="13" spans="1:4" s="118" customFormat="1" ht="23.25" customHeight="1">
      <c r="A13" s="117"/>
      <c r="B13" s="117"/>
      <c r="C13" s="117"/>
      <c r="D13" s="117"/>
    </row>
    <row r="14" spans="1:4" s="118" customFormat="1" ht="23.25" customHeight="1">
      <c r="A14" s="119" t="s">
        <v>242</v>
      </c>
      <c r="B14" s="119" t="s">
        <v>242</v>
      </c>
      <c r="C14" s="119" t="s">
        <v>242</v>
      </c>
      <c r="D14" s="119" t="s">
        <v>242</v>
      </c>
    </row>
    <row r="15" spans="1:4" s="118" customFormat="1" ht="23.25" customHeight="1">
      <c r="A15" s="120" t="s">
        <v>246</v>
      </c>
      <c r="B15" s="120" t="s">
        <v>246</v>
      </c>
      <c r="C15" s="120" t="s">
        <v>246</v>
      </c>
      <c r="D15" s="120" t="s">
        <v>246</v>
      </c>
    </row>
    <row r="16" spans="1:4" s="118" customFormat="1" ht="23.25" customHeight="1">
      <c r="A16" s="121" t="s">
        <v>250</v>
      </c>
      <c r="B16" s="121" t="s">
        <v>250</v>
      </c>
      <c r="C16" s="121" t="s">
        <v>250</v>
      </c>
      <c r="D16" s="121" t="s">
        <v>250</v>
      </c>
    </row>
  </sheetData>
  <pageMargins left="0.16" right="0.15" top="0.31" bottom="0.15" header="0.16" footer="0.1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8"/>
  <sheetViews>
    <sheetView workbookViewId="0">
      <pane xSplit="4" ySplit="3" topLeftCell="E4" activePane="bottomRight" state="frozen"/>
      <selection activeCell="B3" sqref="B3"/>
      <selection pane="topRight" activeCell="B3" sqref="B3"/>
      <selection pane="bottomLeft" activeCell="B3" sqref="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42509</v>
      </c>
      <c r="N1" s="131"/>
      <c r="O1" s="131">
        <v>42506</v>
      </c>
      <c r="P1" s="131">
        <v>42496</v>
      </c>
      <c r="Q1" s="131">
        <v>42508</v>
      </c>
      <c r="R1" s="132"/>
      <c r="S1" s="123"/>
    </row>
    <row r="2" spans="1:20" s="134" customFormat="1" ht="16.5" customHeight="1">
      <c r="A2" s="275" t="s">
        <v>264</v>
      </c>
      <c r="B2" s="275" t="s">
        <v>265</v>
      </c>
      <c r="C2" s="277" t="s">
        <v>266</v>
      </c>
      <c r="D2" s="277"/>
      <c r="E2" s="278" t="s">
        <v>267</v>
      </c>
      <c r="F2" s="278"/>
      <c r="G2" s="278"/>
      <c r="H2" s="279" t="s">
        <v>268</v>
      </c>
      <c r="I2" s="279"/>
      <c r="J2" s="279"/>
      <c r="K2" s="280" t="s">
        <v>269</v>
      </c>
      <c r="L2" s="280"/>
      <c r="M2" s="273" t="s">
        <v>270</v>
      </c>
      <c r="N2" s="273"/>
      <c r="O2" s="273"/>
      <c r="P2" s="273"/>
      <c r="Q2" s="273"/>
      <c r="R2" s="274" t="s">
        <v>271</v>
      </c>
      <c r="S2" s="275" t="s">
        <v>272</v>
      </c>
    </row>
    <row r="3" spans="1:20" s="134" customFormat="1" ht="33" customHeight="1">
      <c r="A3" s="275"/>
      <c r="B3" s="275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4"/>
      <c r="S3" s="275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52.181249999999999</v>
      </c>
      <c r="Q4" s="146">
        <f>DATEVALUE("6/"&amp;(MONTH($P$1)-1)&amp;"/16")</f>
        <v>42466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124.94771249999998</v>
      </c>
      <c r="Q5" s="146">
        <f t="shared" ref="Q5:Q7" si="0">DATEVALUE("6/"&amp;(MONTH($P$1)-1)&amp;"/16")</f>
        <v>42466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76.934849999999997</v>
      </c>
      <c r="Q6" s="146">
        <f t="shared" si="0"/>
        <v>42466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107.69767499999998</v>
      </c>
      <c r="Q7" s="146">
        <f t="shared" si="0"/>
        <v>42466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76" t="s">
        <v>288</v>
      </c>
      <c r="B9" s="276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361.76148749999993</v>
      </c>
      <c r="Q9" s="174"/>
      <c r="R9" s="177"/>
      <c r="S9" s="178"/>
    </row>
    <row r="10" spans="1:20" s="154" customFormat="1" ht="17.25" customHeight="1">
      <c r="A10" s="180">
        <f>ROW()-9</f>
        <v>1</v>
      </c>
      <c r="B10" s="181" t="s">
        <v>289</v>
      </c>
      <c r="C10" s="182">
        <v>42340</v>
      </c>
      <c r="D10" s="182">
        <v>42523</v>
      </c>
      <c r="E10" s="150"/>
      <c r="F10" s="150">
        <v>70900</v>
      </c>
      <c r="G10" s="183">
        <v>2019360000</v>
      </c>
      <c r="H10" s="182"/>
      <c r="I10" s="150"/>
      <c r="J10" s="150"/>
      <c r="K10" s="150"/>
      <c r="L10" s="150">
        <f>F10-J10</f>
        <v>70900</v>
      </c>
      <c r="M10" s="150"/>
      <c r="N10" s="150"/>
      <c r="O10" s="150">
        <f>IF((LEFT(B10,4)="1402"),F10*R10*DATEDIF(Q10,O$1,"d")/360,0)</f>
        <v>236.33333333333334</v>
      </c>
      <c r="P10" s="150">
        <f>IF((LEFT(B10,4)="1015"),F10*R10*DATEDIF(Q10,Q$1,"d")/360,0)</f>
        <v>0</v>
      </c>
      <c r="Q10" s="146">
        <f>DATEVALUE("16/"&amp;(MONTH($P$1)-1)&amp;"/16")</f>
        <v>42476</v>
      </c>
      <c r="R10" s="184">
        <v>0.04</v>
      </c>
      <c r="S10" s="185" t="s">
        <v>290</v>
      </c>
      <c r="T10" s="186"/>
    </row>
    <row r="11" spans="1:20" s="186" customFormat="1" ht="17.25" customHeight="1">
      <c r="A11" s="180">
        <f>ROW()-9</f>
        <v>2</v>
      </c>
      <c r="B11" s="187" t="s">
        <v>291</v>
      </c>
      <c r="C11" s="188">
        <v>42346</v>
      </c>
      <c r="D11" s="188">
        <v>42529</v>
      </c>
      <c r="E11" s="161"/>
      <c r="F11" s="161">
        <v>62000</v>
      </c>
      <c r="G11" s="189">
        <v>1737190000</v>
      </c>
      <c r="H11" s="188"/>
      <c r="I11" s="161"/>
      <c r="J11" s="161"/>
      <c r="K11" s="150"/>
      <c r="L11" s="150">
        <f>F11-J11</f>
        <v>62000</v>
      </c>
      <c r="M11" s="161"/>
      <c r="N11" s="161"/>
      <c r="O11" s="161">
        <f>IF((LEFT(B11,4)="1402"),F11*R11*DATEDIF(Q11,O$1,"d")/360,0)</f>
        <v>206.66666666666666</v>
      </c>
      <c r="P11" s="161">
        <f>IF((LEFT(B11,4)="1015"),F11*R11*DATEDIF(Q11,Q$1,"d")/360,0)</f>
        <v>0</v>
      </c>
      <c r="Q11" s="146">
        <f>DATEVALUE("16/"&amp;(MONTH($P$1)-1)&amp;"/16")</f>
        <v>42476</v>
      </c>
      <c r="R11" s="190">
        <v>0.04</v>
      </c>
      <c r="S11" s="191" t="s">
        <v>290</v>
      </c>
      <c r="T11" s="154"/>
    </row>
    <row r="12" spans="1:20" s="186" customFormat="1" ht="17.25" customHeight="1">
      <c r="A12" s="180">
        <f>ROW()-9</f>
        <v>3</v>
      </c>
      <c r="B12" s="187" t="s">
        <v>292</v>
      </c>
      <c r="C12" s="188">
        <v>42348</v>
      </c>
      <c r="D12" s="188">
        <v>42531</v>
      </c>
      <c r="E12" s="161"/>
      <c r="F12" s="161">
        <v>33000</v>
      </c>
      <c r="G12" s="189">
        <v>1737190000</v>
      </c>
      <c r="H12" s="188"/>
      <c r="I12" s="161"/>
      <c r="J12" s="161"/>
      <c r="K12" s="150"/>
      <c r="L12" s="150">
        <f>F12-J12</f>
        <v>33000</v>
      </c>
      <c r="M12" s="161"/>
      <c r="N12" s="161"/>
      <c r="O12" s="161">
        <f>IF((LEFT(B12,4)="1402"),F12*R12*DATEDIF(Q12,O$1,"d")/360,0)</f>
        <v>110</v>
      </c>
      <c r="P12" s="161">
        <f>IF((LEFT(B12,4)="1015"),F12*R12*DATEDIF(Q12,Q$1,"d")/360,0)</f>
        <v>0</v>
      </c>
      <c r="Q12" s="146">
        <f>DATEVALUE("16/"&amp;(MONTH($P$1)-1)&amp;"/16")</f>
        <v>42476</v>
      </c>
      <c r="R12" s="190">
        <v>0.04</v>
      </c>
      <c r="S12" s="191" t="s">
        <v>290</v>
      </c>
      <c r="T12" s="154"/>
    </row>
    <row r="13" spans="1:20" s="154" customFormat="1" ht="17.25" customHeight="1">
      <c r="A13" s="180">
        <f>ROW()-9</f>
        <v>4</v>
      </c>
      <c r="B13" s="187" t="s">
        <v>293</v>
      </c>
      <c r="C13" s="188">
        <v>42363</v>
      </c>
      <c r="D13" s="188">
        <v>42546</v>
      </c>
      <c r="E13" s="161"/>
      <c r="F13" s="161">
        <v>43000</v>
      </c>
      <c r="G13" s="189">
        <v>926064000</v>
      </c>
      <c r="H13" s="188"/>
      <c r="I13" s="161"/>
      <c r="J13" s="161"/>
      <c r="K13" s="150"/>
      <c r="L13" s="150">
        <f>F13-J13</f>
        <v>43000</v>
      </c>
      <c r="M13" s="161"/>
      <c r="N13" s="161"/>
      <c r="O13" s="161">
        <f>IF((LEFT(B13,4)="1402"),F13*R13*DATEDIF(Q13,O$1,"d")/360,0)</f>
        <v>143.33333333333334</v>
      </c>
      <c r="P13" s="161">
        <f>IF((LEFT(B13,4)="1015"),F13*R13*DATEDIF(Q13,Q$1,"d")/360,0)</f>
        <v>0</v>
      </c>
      <c r="Q13" s="146">
        <f>DATEVALUE("16/"&amp;(MONTH($P$1)-1)&amp;"/16")</f>
        <v>42476</v>
      </c>
      <c r="R13" s="190">
        <v>0.04</v>
      </c>
      <c r="S13" s="191" t="s">
        <v>290</v>
      </c>
    </row>
    <row r="14" spans="1:20" s="154" customFormat="1" ht="17.25" customHeight="1">
      <c r="A14" s="180">
        <f>ROW()-9</f>
        <v>5</v>
      </c>
      <c r="B14" s="181" t="s">
        <v>294</v>
      </c>
      <c r="C14" s="188">
        <v>42398</v>
      </c>
      <c r="D14" s="188">
        <v>42580</v>
      </c>
      <c r="E14" s="161"/>
      <c r="F14" s="161">
        <v>52300</v>
      </c>
      <c r="G14" s="189">
        <v>1151700000</v>
      </c>
      <c r="H14" s="188"/>
      <c r="I14" s="161"/>
      <c r="J14" s="161"/>
      <c r="K14" s="150"/>
      <c r="L14" s="150">
        <f>F14-J14</f>
        <v>52300</v>
      </c>
      <c r="M14" s="161"/>
      <c r="N14" s="161"/>
      <c r="O14" s="161">
        <f>IF((LEFT(B14,4)="1402"),F14*R14*DATEDIF(Q14,O$1,"d")/360,0)</f>
        <v>174.33333333333334</v>
      </c>
      <c r="P14" s="161">
        <f>IF((LEFT(B14,4)="1015"),F14*R14*DATEDIF(Q14,Q$1,"d")/360,0)</f>
        <v>0</v>
      </c>
      <c r="Q14" s="146">
        <f>DATEVALUE("16/"&amp;(MONTH($P$1)-1)&amp;"/16")</f>
        <v>42476</v>
      </c>
      <c r="R14" s="190">
        <v>0.04</v>
      </c>
      <c r="S14" s="191" t="s">
        <v>295</v>
      </c>
    </row>
    <row r="15" spans="1:20" s="154" customFormat="1" ht="17.25" customHeight="1">
      <c r="A15" s="192"/>
      <c r="B15" s="193"/>
      <c r="C15" s="194"/>
      <c r="D15" s="194"/>
      <c r="E15" s="195"/>
      <c r="F15" s="195"/>
      <c r="G15" s="196"/>
      <c r="H15" s="194"/>
      <c r="I15" s="195"/>
      <c r="J15" s="195"/>
      <c r="K15" s="195"/>
      <c r="L15" s="195"/>
      <c r="M15" s="195"/>
      <c r="N15" s="195"/>
      <c r="O15" s="195"/>
      <c r="P15" s="195"/>
      <c r="Q15" s="197"/>
      <c r="R15" s="198"/>
      <c r="S15" s="199"/>
    </row>
    <row r="16" spans="1:20" s="179" customFormat="1" ht="17.25" customHeight="1">
      <c r="A16" s="276" t="s">
        <v>296</v>
      </c>
      <c r="B16" s="276"/>
      <c r="C16" s="174"/>
      <c r="D16" s="174"/>
      <c r="E16" s="175"/>
      <c r="F16" s="176">
        <f>SUM(F10:F15)</f>
        <v>261200</v>
      </c>
      <c r="G16" s="175">
        <f>SUM(G9:G13)</f>
        <v>6419804000</v>
      </c>
      <c r="H16" s="176"/>
      <c r="I16" s="175"/>
      <c r="J16" s="176">
        <f>SUM(J10:J15)</f>
        <v>0</v>
      </c>
      <c r="K16" s="175"/>
      <c r="L16" s="176">
        <f>SUM(L10:L15)</f>
        <v>261200</v>
      </c>
      <c r="M16" s="175"/>
      <c r="N16" s="175">
        <f>SUM(N9:N13)</f>
        <v>0</v>
      </c>
      <c r="O16" s="176">
        <f>SUM(O10:O15)</f>
        <v>870.66666666666674</v>
      </c>
      <c r="P16" s="176">
        <f>SUM(P10:P15)</f>
        <v>0</v>
      </c>
      <c r="Q16" s="174"/>
      <c r="R16" s="177"/>
      <c r="S16" s="178"/>
    </row>
    <row r="17" spans="1:20" s="154" customFormat="1" ht="17.25" customHeight="1">
      <c r="A17" s="180">
        <f>ROW()-16</f>
        <v>1</v>
      </c>
      <c r="B17" s="156" t="s">
        <v>297</v>
      </c>
      <c r="C17" s="157">
        <v>42278</v>
      </c>
      <c r="D17" s="157">
        <v>42552</v>
      </c>
      <c r="E17" s="158"/>
      <c r="F17" s="158">
        <v>89500</v>
      </c>
      <c r="G17" s="159">
        <v>1894165000</v>
      </c>
      <c r="H17" s="157"/>
      <c r="I17" s="158"/>
      <c r="J17" s="158"/>
      <c r="K17" s="150"/>
      <c r="L17" s="147">
        <f t="shared" ref="L17:L24" si="1">F17-J17</f>
        <v>89500</v>
      </c>
      <c r="M17" s="158"/>
      <c r="N17" s="158"/>
      <c r="O17" s="158">
        <f t="shared" ref="O17:O24" si="2">IF((LEFT(B17,4)="1402"),F17*R17*DATEDIF(Q17,O$1,"d")/360,0)</f>
        <v>0</v>
      </c>
      <c r="P17" s="158">
        <f t="shared" ref="P17:P24" si="3">IF((LEFT(B17,4)="1015"),F17*R17*DATEDIF(Q17,Q$1,"d")/360,0)</f>
        <v>298.33333333333331</v>
      </c>
      <c r="Q17" s="146">
        <f>DATEVALUE("18/"&amp;(MONTH($P$1)-1)&amp;"/16")</f>
        <v>42478</v>
      </c>
      <c r="R17" s="200">
        <v>0.04</v>
      </c>
      <c r="S17" s="191" t="s">
        <v>298</v>
      </c>
      <c r="T17" s="186"/>
    </row>
    <row r="18" spans="1:20" s="154" customFormat="1" ht="17.25" customHeight="1">
      <c r="A18" s="180">
        <f t="shared" ref="A18:A24" si="4">ROW()-16</f>
        <v>2</v>
      </c>
      <c r="B18" s="156" t="s">
        <v>299</v>
      </c>
      <c r="C18" s="157">
        <v>42279</v>
      </c>
      <c r="D18" s="157">
        <v>42553</v>
      </c>
      <c r="E18" s="158"/>
      <c r="F18" s="158">
        <v>89000</v>
      </c>
      <c r="G18" s="159"/>
      <c r="H18" s="157"/>
      <c r="I18" s="158"/>
      <c r="J18" s="158"/>
      <c r="K18" s="150"/>
      <c r="L18" s="147">
        <f t="shared" si="1"/>
        <v>89000</v>
      </c>
      <c r="M18" s="158"/>
      <c r="N18" s="158"/>
      <c r="O18" s="158">
        <f t="shared" si="2"/>
        <v>0</v>
      </c>
      <c r="P18" s="158">
        <f t="shared" si="3"/>
        <v>296.66666666666669</v>
      </c>
      <c r="Q18" s="146">
        <f>DATEVALUE("18/"&amp;(MONTH($P$1)-1)&amp;"/16")</f>
        <v>42478</v>
      </c>
      <c r="R18" s="200">
        <v>0.04</v>
      </c>
      <c r="S18" s="163"/>
    </row>
    <row r="19" spans="1:20" s="154" customFormat="1" ht="17.25" customHeight="1">
      <c r="A19" s="180">
        <f t="shared" si="4"/>
        <v>3</v>
      </c>
      <c r="B19" s="156" t="s">
        <v>300</v>
      </c>
      <c r="C19" s="157">
        <v>42328</v>
      </c>
      <c r="D19" s="157">
        <v>42602</v>
      </c>
      <c r="E19" s="158"/>
      <c r="F19" s="158">
        <v>61000</v>
      </c>
      <c r="G19" s="159"/>
      <c r="H19" s="157"/>
      <c r="I19" s="158"/>
      <c r="J19" s="158"/>
      <c r="K19" s="150"/>
      <c r="L19" s="147">
        <f t="shared" si="1"/>
        <v>61000</v>
      </c>
      <c r="M19" s="158"/>
      <c r="N19" s="158"/>
      <c r="O19" s="158">
        <f t="shared" si="2"/>
        <v>0</v>
      </c>
      <c r="P19" s="158">
        <f t="shared" si="3"/>
        <v>203.33333333333334</v>
      </c>
      <c r="Q19" s="146">
        <f>DATEVALUE("18/"&amp;(MONTH($P$1)-1)&amp;"/16")</f>
        <v>42478</v>
      </c>
      <c r="R19" s="200">
        <v>0.04</v>
      </c>
      <c r="S19" s="163"/>
    </row>
    <row r="20" spans="1:20" s="154" customFormat="1" ht="17.25" customHeight="1">
      <c r="A20" s="180">
        <f t="shared" si="4"/>
        <v>4</v>
      </c>
      <c r="B20" s="156" t="s">
        <v>301</v>
      </c>
      <c r="C20" s="157">
        <v>42339</v>
      </c>
      <c r="D20" s="157">
        <v>42614</v>
      </c>
      <c r="E20" s="158"/>
      <c r="F20" s="158">
        <v>89000</v>
      </c>
      <c r="G20" s="159"/>
      <c r="H20" s="157"/>
      <c r="I20" s="158"/>
      <c r="J20" s="158"/>
      <c r="K20" s="150"/>
      <c r="L20" s="147">
        <f t="shared" si="1"/>
        <v>89000</v>
      </c>
      <c r="M20" s="158"/>
      <c r="N20" s="158"/>
      <c r="O20" s="158">
        <f t="shared" si="2"/>
        <v>0</v>
      </c>
      <c r="P20" s="158">
        <f t="shared" si="3"/>
        <v>296.66666666666669</v>
      </c>
      <c r="Q20" s="146">
        <f>DATEVALUE("18/"&amp;(MONTH($P$1)-1)&amp;"/16")</f>
        <v>42478</v>
      </c>
      <c r="R20" s="200">
        <v>0.04</v>
      </c>
      <c r="S20" s="163"/>
    </row>
    <row r="21" spans="1:20" s="186" customFormat="1" ht="17.25" customHeight="1">
      <c r="A21" s="180">
        <f t="shared" si="4"/>
        <v>5</v>
      </c>
      <c r="B21" s="156" t="s">
        <v>302</v>
      </c>
      <c r="C21" s="157">
        <v>42360</v>
      </c>
      <c r="D21" s="157">
        <v>42635</v>
      </c>
      <c r="E21" s="158"/>
      <c r="F21" s="158">
        <v>88000</v>
      </c>
      <c r="G21" s="159">
        <v>2015900000</v>
      </c>
      <c r="H21" s="157"/>
      <c r="I21" s="158"/>
      <c r="J21" s="158"/>
      <c r="K21" s="150"/>
      <c r="L21" s="147">
        <f t="shared" si="1"/>
        <v>88000</v>
      </c>
      <c r="M21" s="158"/>
      <c r="N21" s="158"/>
      <c r="O21" s="158">
        <f t="shared" si="2"/>
        <v>0</v>
      </c>
      <c r="P21" s="158">
        <f t="shared" si="3"/>
        <v>293.33333333333331</v>
      </c>
      <c r="Q21" s="146">
        <f t="shared" ref="Q21:Q24" si="5">DATEVALUE("18/"&amp;(MONTH($P$1)-1)&amp;"/16")</f>
        <v>42478</v>
      </c>
      <c r="R21" s="200">
        <v>0.04</v>
      </c>
      <c r="S21" s="191" t="s">
        <v>303</v>
      </c>
    </row>
    <row r="22" spans="1:20" s="154" customFormat="1" ht="17.25" customHeight="1">
      <c r="A22" s="180">
        <f t="shared" si="4"/>
        <v>6</v>
      </c>
      <c r="B22" s="156" t="s">
        <v>304</v>
      </c>
      <c r="C22" s="157">
        <v>42394</v>
      </c>
      <c r="D22" s="157">
        <v>42668</v>
      </c>
      <c r="E22" s="158"/>
      <c r="F22" s="158">
        <v>97000</v>
      </c>
      <c r="G22" s="159">
        <v>1965255000</v>
      </c>
      <c r="H22" s="157"/>
      <c r="I22" s="158"/>
      <c r="J22" s="158"/>
      <c r="K22" s="147"/>
      <c r="L22" s="147">
        <f t="shared" si="1"/>
        <v>97000</v>
      </c>
      <c r="M22" s="158"/>
      <c r="N22" s="158"/>
      <c r="O22" s="158">
        <f t="shared" si="2"/>
        <v>0</v>
      </c>
      <c r="P22" s="158">
        <f t="shared" si="3"/>
        <v>323.33333333333331</v>
      </c>
      <c r="Q22" s="146">
        <f t="shared" si="5"/>
        <v>42478</v>
      </c>
      <c r="R22" s="200">
        <v>0.04</v>
      </c>
      <c r="S22" s="163" t="s">
        <v>305</v>
      </c>
    </row>
    <row r="23" spans="1:20" s="154" customFormat="1" ht="17.25" customHeight="1">
      <c r="A23" s="180">
        <f t="shared" si="4"/>
        <v>7</v>
      </c>
      <c r="B23" s="156" t="s">
        <v>306</v>
      </c>
      <c r="C23" s="157">
        <v>42436</v>
      </c>
      <c r="D23" s="157">
        <v>42711</v>
      </c>
      <c r="E23" s="158"/>
      <c r="F23" s="158">
        <v>82000</v>
      </c>
      <c r="G23" s="159">
        <v>1894165000</v>
      </c>
      <c r="H23" s="157"/>
      <c r="I23" s="158"/>
      <c r="J23" s="158"/>
      <c r="K23" s="147"/>
      <c r="L23" s="147">
        <f t="shared" si="1"/>
        <v>82000</v>
      </c>
      <c r="M23" s="158"/>
      <c r="N23" s="158"/>
      <c r="O23" s="158">
        <f t="shared" si="2"/>
        <v>0</v>
      </c>
      <c r="P23" s="158">
        <f t="shared" si="3"/>
        <v>273.33333333333331</v>
      </c>
      <c r="Q23" s="146">
        <f t="shared" si="5"/>
        <v>42478</v>
      </c>
      <c r="R23" s="200">
        <v>0.04</v>
      </c>
      <c r="S23" s="163" t="s">
        <v>307</v>
      </c>
    </row>
    <row r="24" spans="1:20" s="154" customFormat="1" ht="17.25" customHeight="1">
      <c r="A24" s="180">
        <f t="shared" si="4"/>
        <v>8</v>
      </c>
      <c r="B24" s="156" t="s">
        <v>308</v>
      </c>
      <c r="C24" s="201">
        <v>42437</v>
      </c>
      <c r="D24" s="157">
        <v>42712</v>
      </c>
      <c r="E24" s="202"/>
      <c r="F24" s="202">
        <v>90000</v>
      </c>
      <c r="G24" s="203">
        <v>1997238540</v>
      </c>
      <c r="H24" s="201"/>
      <c r="I24" s="202"/>
      <c r="J24" s="202"/>
      <c r="K24" s="147"/>
      <c r="L24" s="147">
        <f t="shared" si="1"/>
        <v>90000</v>
      </c>
      <c r="M24" s="202"/>
      <c r="N24" s="202"/>
      <c r="O24" s="158">
        <f t="shared" si="2"/>
        <v>0</v>
      </c>
      <c r="P24" s="158">
        <f t="shared" si="3"/>
        <v>300</v>
      </c>
      <c r="Q24" s="146">
        <f t="shared" si="5"/>
        <v>42478</v>
      </c>
      <c r="R24" s="200">
        <v>0.04</v>
      </c>
      <c r="S24" s="191" t="s">
        <v>309</v>
      </c>
    </row>
    <row r="25" spans="1:20" s="154" customFormat="1" ht="17.25" customHeight="1">
      <c r="A25" s="164"/>
      <c r="B25" s="165"/>
      <c r="C25" s="166"/>
      <c r="D25" s="166"/>
      <c r="E25" s="167"/>
      <c r="F25" s="167"/>
      <c r="G25" s="168"/>
      <c r="H25" s="166"/>
      <c r="I25" s="167"/>
      <c r="J25" s="167"/>
      <c r="K25" s="167"/>
      <c r="L25" s="167"/>
      <c r="M25" s="167"/>
      <c r="N25" s="167"/>
      <c r="O25" s="167"/>
      <c r="P25" s="167"/>
      <c r="Q25" s="166"/>
      <c r="R25" s="204"/>
      <c r="S25" s="173"/>
    </row>
    <row r="26" spans="1:20" s="208" customFormat="1" ht="17.25" customHeight="1">
      <c r="A26" s="272" t="s">
        <v>288</v>
      </c>
      <c r="B26" s="272"/>
      <c r="C26" s="205"/>
      <c r="D26" s="205"/>
      <c r="E26" s="176">
        <f>SUM(E10:E25)</f>
        <v>0</v>
      </c>
      <c r="F26" s="176">
        <f>SUM(F17:F25)</f>
        <v>685500</v>
      </c>
      <c r="G26" s="175">
        <f>SUM(G10:G23)</f>
        <v>21760793000</v>
      </c>
      <c r="H26" s="174"/>
      <c r="I26" s="176">
        <f>SUM(I17:I25)</f>
        <v>0</v>
      </c>
      <c r="J26" s="176">
        <f>SUM(J17:J25)</f>
        <v>0</v>
      </c>
      <c r="K26" s="176">
        <f>SUM(K17:K25)</f>
        <v>0</v>
      </c>
      <c r="L26" s="176">
        <f>SUM(L17:L25)</f>
        <v>685500</v>
      </c>
      <c r="M26" s="176">
        <f>SUM(M10:M21)</f>
        <v>0</v>
      </c>
      <c r="N26" s="176"/>
      <c r="O26" s="176">
        <f>SUM(O17:O25)</f>
        <v>0</v>
      </c>
      <c r="P26" s="176">
        <f>SUM(P17:P25)</f>
        <v>2285</v>
      </c>
      <c r="Q26" s="206"/>
      <c r="R26" s="207"/>
      <c r="S26" s="178"/>
    </row>
    <row r="27" spans="1:20" s="186" customFormat="1" ht="17.25" customHeight="1">
      <c r="A27" s="180">
        <f>ROW()-26</f>
        <v>1</v>
      </c>
      <c r="B27" s="187" t="s">
        <v>310</v>
      </c>
      <c r="C27" s="188">
        <v>41870</v>
      </c>
      <c r="D27" s="188">
        <v>46253</v>
      </c>
      <c r="E27" s="189">
        <v>1000000000</v>
      </c>
      <c r="F27" s="161"/>
      <c r="G27" s="189">
        <v>1151700000</v>
      </c>
      <c r="H27" s="188">
        <v>42632</v>
      </c>
      <c r="I27" s="189">
        <v>8340000</v>
      </c>
      <c r="J27" s="161"/>
      <c r="K27" s="189">
        <f t="shared" ref="K27:K41" si="6">E27-I27</f>
        <v>991660000</v>
      </c>
      <c r="L27" s="161"/>
      <c r="M27" s="189">
        <f t="shared" ref="M27:M41" si="7">IF((LEFT(B27,4)="1402"),E27*R27*DATEDIF(Q27,$M$1,"d")/360,0)</f>
        <v>7916666.666666667</v>
      </c>
      <c r="N27" s="161"/>
      <c r="O27" s="161">
        <f t="shared" ref="O27:O40" si="8">IF((LEFT(B27,4)="1402"),F27*R27*DATEDIF(Q27,O$1,"d")/360,0)</f>
        <v>0</v>
      </c>
      <c r="P27" s="161">
        <f t="shared" ref="P27:P41" si="9">IF((LEFT(B27,4)="1015"),F27*R27*DATEDIF(Q27,Q$1,"d")/360,0)</f>
        <v>0</v>
      </c>
      <c r="Q27" s="209">
        <f>DATEVALUE("19/"&amp;(MONTH($P$1)-1)&amp;"/16")</f>
        <v>42479</v>
      </c>
      <c r="R27" s="190">
        <v>9.5000000000000001E-2</v>
      </c>
      <c r="S27" s="210" t="s">
        <v>311</v>
      </c>
    </row>
    <row r="28" spans="1:20" s="186" customFormat="1" ht="17.25" customHeight="1">
      <c r="A28" s="180">
        <f t="shared" ref="A28:A41" si="10">ROW()-26</f>
        <v>2</v>
      </c>
      <c r="B28" s="187" t="s">
        <v>312</v>
      </c>
      <c r="C28" s="188">
        <v>41905</v>
      </c>
      <c r="D28" s="188">
        <v>46253</v>
      </c>
      <c r="E28" s="189">
        <v>2000000000</v>
      </c>
      <c r="F28" s="161"/>
      <c r="G28" s="189">
        <v>1894165000</v>
      </c>
      <c r="H28" s="188">
        <v>42632</v>
      </c>
      <c r="I28" s="189">
        <v>16670000</v>
      </c>
      <c r="J28" s="161"/>
      <c r="K28" s="189">
        <f t="shared" si="6"/>
        <v>1983330000</v>
      </c>
      <c r="L28" s="161"/>
      <c r="M28" s="189">
        <f t="shared" si="7"/>
        <v>15833333.333333334</v>
      </c>
      <c r="N28" s="161"/>
      <c r="O28" s="161">
        <f t="shared" si="8"/>
        <v>0</v>
      </c>
      <c r="P28" s="161">
        <f t="shared" si="9"/>
        <v>0</v>
      </c>
      <c r="Q28" s="209">
        <f t="shared" ref="Q28:Q40" si="11">DATEVALUE("19/"&amp;(MONTH($P$1)-1)&amp;"/16")</f>
        <v>42479</v>
      </c>
      <c r="R28" s="190">
        <v>9.5000000000000001E-2</v>
      </c>
      <c r="S28" s="191" t="s">
        <v>311</v>
      </c>
    </row>
    <row r="29" spans="1:20" s="186" customFormat="1" ht="17.25" customHeight="1">
      <c r="A29" s="180">
        <f t="shared" si="10"/>
        <v>3</v>
      </c>
      <c r="B29" s="187" t="s">
        <v>313</v>
      </c>
      <c r="C29" s="211">
        <v>41934</v>
      </c>
      <c r="D29" s="188">
        <v>46253</v>
      </c>
      <c r="E29" s="212">
        <v>1600000000</v>
      </c>
      <c r="F29" s="213"/>
      <c r="G29" s="212"/>
      <c r="H29" s="188">
        <v>42632</v>
      </c>
      <c r="I29" s="212">
        <v>13340000</v>
      </c>
      <c r="J29" s="213"/>
      <c r="K29" s="189">
        <f t="shared" si="6"/>
        <v>1586660000</v>
      </c>
      <c r="L29" s="213"/>
      <c r="M29" s="189">
        <f t="shared" si="7"/>
        <v>12666666.666666666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42479</v>
      </c>
      <c r="R29" s="190">
        <v>9.5000000000000001E-2</v>
      </c>
      <c r="S29" s="191" t="s">
        <v>311</v>
      </c>
    </row>
    <row r="30" spans="1:20" s="186" customFormat="1" ht="17.25" customHeight="1">
      <c r="A30" s="180">
        <f t="shared" si="10"/>
        <v>4</v>
      </c>
      <c r="B30" s="187" t="s">
        <v>314</v>
      </c>
      <c r="C30" s="211">
        <v>41963</v>
      </c>
      <c r="D30" s="188">
        <v>46253</v>
      </c>
      <c r="E30" s="212">
        <v>1500000000</v>
      </c>
      <c r="F30" s="213"/>
      <c r="G30" s="212"/>
      <c r="H30" s="188">
        <v>42632</v>
      </c>
      <c r="I30" s="212">
        <v>12500000</v>
      </c>
      <c r="J30" s="213"/>
      <c r="K30" s="189">
        <f t="shared" si="6"/>
        <v>1487500000</v>
      </c>
      <c r="L30" s="213"/>
      <c r="M30" s="189">
        <f t="shared" si="7"/>
        <v>11875000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42479</v>
      </c>
      <c r="R30" s="190">
        <v>9.5000000000000001E-2</v>
      </c>
      <c r="S30" s="191" t="s">
        <v>311</v>
      </c>
    </row>
    <row r="31" spans="1:20" s="186" customFormat="1" ht="17.25" customHeight="1">
      <c r="A31" s="180">
        <f t="shared" si="10"/>
        <v>5</v>
      </c>
      <c r="B31" s="187" t="s">
        <v>315</v>
      </c>
      <c r="C31" s="211">
        <v>41984</v>
      </c>
      <c r="D31" s="188">
        <v>46253</v>
      </c>
      <c r="E31" s="212">
        <v>1000000000</v>
      </c>
      <c r="F31" s="213"/>
      <c r="G31" s="212"/>
      <c r="H31" s="188">
        <v>42632</v>
      </c>
      <c r="I31" s="212">
        <v>8330000</v>
      </c>
      <c r="J31" s="213"/>
      <c r="K31" s="212">
        <f t="shared" si="6"/>
        <v>991670000</v>
      </c>
      <c r="L31" s="213"/>
      <c r="M31" s="189">
        <f t="shared" si="7"/>
        <v>7916666.666666667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42479</v>
      </c>
      <c r="R31" s="190">
        <v>9.5000000000000001E-2</v>
      </c>
      <c r="S31" s="191" t="s">
        <v>311</v>
      </c>
    </row>
    <row r="32" spans="1:20" s="186" customFormat="1" ht="17.25" customHeight="1">
      <c r="A32" s="180">
        <f t="shared" si="10"/>
        <v>6</v>
      </c>
      <c r="B32" s="187" t="s">
        <v>316</v>
      </c>
      <c r="C32" s="211">
        <v>42033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6"/>
        <v>1487500000</v>
      </c>
      <c r="L32" s="213"/>
      <c r="M32" s="189">
        <f t="shared" si="7"/>
        <v>11875000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42479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317</v>
      </c>
      <c r="C33" s="211">
        <v>42088</v>
      </c>
      <c r="D33" s="188">
        <v>46253</v>
      </c>
      <c r="E33" s="212">
        <v>2000000000</v>
      </c>
      <c r="F33" s="213"/>
      <c r="G33" s="212"/>
      <c r="H33" s="188">
        <v>42632</v>
      </c>
      <c r="I33" s="212">
        <v>16670000</v>
      </c>
      <c r="J33" s="213"/>
      <c r="K33" s="212">
        <f t="shared" si="6"/>
        <v>1983330000</v>
      </c>
      <c r="L33" s="213"/>
      <c r="M33" s="189">
        <f t="shared" si="7"/>
        <v>15833333.333333334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42479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318</v>
      </c>
      <c r="C34" s="211">
        <v>42114</v>
      </c>
      <c r="D34" s="188">
        <v>46253</v>
      </c>
      <c r="E34" s="212">
        <v>1400000000</v>
      </c>
      <c r="F34" s="213"/>
      <c r="G34" s="212"/>
      <c r="H34" s="211">
        <v>42632</v>
      </c>
      <c r="I34" s="212">
        <v>11670000</v>
      </c>
      <c r="J34" s="213"/>
      <c r="K34" s="212">
        <f t="shared" si="6"/>
        <v>1388330000</v>
      </c>
      <c r="L34" s="213"/>
      <c r="M34" s="189">
        <f t="shared" si="7"/>
        <v>11083333.333333334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42479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319</v>
      </c>
      <c r="C35" s="211">
        <v>42138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11875000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42479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320</v>
      </c>
      <c r="C36" s="211">
        <v>42164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11875000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42479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321</v>
      </c>
      <c r="C37" s="211">
        <v>42187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11875000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42479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322</v>
      </c>
      <c r="C38" s="211">
        <v>42195</v>
      </c>
      <c r="D38" s="188">
        <v>46253</v>
      </c>
      <c r="E38" s="212">
        <v>1500000000</v>
      </c>
      <c r="F38" s="213"/>
      <c r="G38" s="212"/>
      <c r="H38" s="211">
        <v>42632</v>
      </c>
      <c r="I38" s="212">
        <v>12500000</v>
      </c>
      <c r="J38" s="213"/>
      <c r="K38" s="212">
        <f t="shared" si="6"/>
        <v>1487500000</v>
      </c>
      <c r="L38" s="213"/>
      <c r="M38" s="189">
        <f t="shared" si="7"/>
        <v>11875000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42479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323</v>
      </c>
      <c r="C39" s="211">
        <v>42215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7916666.666666667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42479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324</v>
      </c>
      <c r="C40" s="211">
        <v>42229</v>
      </c>
      <c r="D40" s="188">
        <v>46253</v>
      </c>
      <c r="E40" s="212">
        <v>1000000000</v>
      </c>
      <c r="F40" s="213"/>
      <c r="G40" s="212"/>
      <c r="H40" s="211">
        <v>42632</v>
      </c>
      <c r="I40" s="212">
        <v>8330000</v>
      </c>
      <c r="J40" s="213"/>
      <c r="K40" s="212">
        <f t="shared" si="6"/>
        <v>991670000</v>
      </c>
      <c r="L40" s="213"/>
      <c r="M40" s="189">
        <f t="shared" si="7"/>
        <v>7916666.666666667</v>
      </c>
      <c r="N40" s="213"/>
      <c r="O40" s="161">
        <f t="shared" si="8"/>
        <v>0</v>
      </c>
      <c r="P40" s="161">
        <f t="shared" si="9"/>
        <v>0</v>
      </c>
      <c r="Q40" s="209">
        <f t="shared" si="11"/>
        <v>42479</v>
      </c>
      <c r="R40" s="190">
        <v>9.5000000000000001E-2</v>
      </c>
      <c r="S40" s="191" t="s">
        <v>311</v>
      </c>
    </row>
    <row r="41" spans="1:19" s="186" customFormat="1" ht="17.25" customHeight="1">
      <c r="A41" s="180">
        <f t="shared" si="10"/>
        <v>15</v>
      </c>
      <c r="B41" s="187" t="s">
        <v>325</v>
      </c>
      <c r="C41" s="211">
        <v>42362</v>
      </c>
      <c r="D41" s="211">
        <v>42545</v>
      </c>
      <c r="E41" s="212"/>
      <c r="F41" s="213">
        <v>88000</v>
      </c>
      <c r="G41" s="212"/>
      <c r="H41" s="211"/>
      <c r="I41" s="212"/>
      <c r="J41" s="213"/>
      <c r="K41" s="212">
        <f t="shared" si="6"/>
        <v>0</v>
      </c>
      <c r="L41" s="213">
        <f>F41</f>
        <v>88000</v>
      </c>
      <c r="M41" s="189">
        <f t="shared" si="7"/>
        <v>0</v>
      </c>
      <c r="N41" s="213"/>
      <c r="O41" s="161">
        <f>IF((LEFT(B41,4)="1402"),F41*R41*DATEDIF(Q41,O$1,"d")/360,0)</f>
        <v>293.33333333333331</v>
      </c>
      <c r="P41" s="161">
        <f t="shared" si="9"/>
        <v>0</v>
      </c>
      <c r="Q41" s="209">
        <f>DATEVALUE("16/"&amp;(MONTH($P$1)-1)&amp;"/16")</f>
        <v>42476</v>
      </c>
      <c r="R41" s="190">
        <v>0.04</v>
      </c>
      <c r="S41" s="191"/>
    </row>
    <row r="42" spans="1:19" s="186" customFormat="1" ht="17.25" hidden="1" customHeight="1">
      <c r="A42" s="180"/>
      <c r="B42" s="187"/>
      <c r="C42" s="211"/>
      <c r="D42" s="211"/>
      <c r="E42" s="212"/>
      <c r="F42" s="213"/>
      <c r="G42" s="212"/>
      <c r="H42" s="211"/>
      <c r="I42" s="212"/>
      <c r="J42" s="213"/>
      <c r="K42" s="212"/>
      <c r="L42" s="213"/>
      <c r="M42" s="212"/>
      <c r="N42" s="213"/>
      <c r="O42" s="213"/>
      <c r="P42" s="213"/>
      <c r="Q42" s="209"/>
      <c r="R42" s="190"/>
      <c r="S42" s="191"/>
    </row>
    <row r="43" spans="1:19" s="154" customFormat="1" ht="17.25" customHeight="1">
      <c r="A43" s="144"/>
      <c r="B43" s="156"/>
      <c r="C43" s="201"/>
      <c r="D43" s="201"/>
      <c r="E43" s="203"/>
      <c r="F43" s="202"/>
      <c r="G43" s="203"/>
      <c r="H43" s="201"/>
      <c r="I43" s="203"/>
      <c r="J43" s="202"/>
      <c r="K43" s="203"/>
      <c r="L43" s="202"/>
      <c r="M43" s="203"/>
      <c r="N43" s="202"/>
      <c r="O43" s="202"/>
      <c r="P43" s="202"/>
      <c r="Q43" s="146"/>
      <c r="R43" s="200"/>
      <c r="S43" s="163"/>
    </row>
    <row r="44" spans="1:19" s="208" customFormat="1" ht="17.25" customHeight="1">
      <c r="A44" s="272" t="s">
        <v>326</v>
      </c>
      <c r="B44" s="272"/>
      <c r="C44" s="205"/>
      <c r="D44" s="205"/>
      <c r="E44" s="175">
        <f>SUM(E27:E43)</f>
        <v>20000000000</v>
      </c>
      <c r="F44" s="176">
        <f>SUM(F27:F43)</f>
        <v>88000</v>
      </c>
      <c r="G44" s="175">
        <f>SUM(G27:G43)</f>
        <v>3045865000</v>
      </c>
      <c r="H44" s="176"/>
      <c r="I44" s="175">
        <f t="shared" ref="I44:P44" si="12">SUM(I27:I43)</f>
        <v>166680000</v>
      </c>
      <c r="J44" s="176">
        <f t="shared" si="12"/>
        <v>0</v>
      </c>
      <c r="K44" s="175">
        <f t="shared" si="12"/>
        <v>19833320000</v>
      </c>
      <c r="L44" s="176">
        <f t="shared" si="12"/>
        <v>88000</v>
      </c>
      <c r="M44" s="175">
        <f t="shared" si="12"/>
        <v>158333333.33333331</v>
      </c>
      <c r="N44" s="176">
        <f t="shared" si="12"/>
        <v>0</v>
      </c>
      <c r="O44" s="176">
        <f t="shared" si="12"/>
        <v>293.33333333333331</v>
      </c>
      <c r="P44" s="176">
        <f t="shared" si="12"/>
        <v>0</v>
      </c>
      <c r="Q44" s="206"/>
      <c r="R44" s="207"/>
      <c r="S44" s="178"/>
    </row>
    <row r="45" spans="1:19" ht="17.25" customHeight="1">
      <c r="F45" s="218"/>
    </row>
    <row r="46" spans="1:19" ht="17.25" customHeight="1">
      <c r="F46" s="215"/>
    </row>
    <row r="47" spans="1:19" ht="17.25" customHeight="1">
      <c r="F47" s="215"/>
    </row>
    <row r="48" spans="1:19" ht="17.25" customHeight="1">
      <c r="F48" s="215"/>
    </row>
    <row r="50" spans="1:19" ht="17.25" customHeight="1">
      <c r="F50" s="218"/>
    </row>
    <row r="58" spans="1:19" s="223" customFormat="1" ht="17.25" customHeight="1">
      <c r="A58" s="214"/>
      <c r="B58" s="215"/>
      <c r="C58" s="216"/>
      <c r="D58" s="216"/>
      <c r="E58" s="217"/>
      <c r="F58" s="221"/>
      <c r="G58" s="217"/>
      <c r="H58" s="219"/>
      <c r="I58" s="220"/>
      <c r="J58" s="220"/>
      <c r="K58" s="217"/>
      <c r="L58" s="221"/>
      <c r="M58" s="225"/>
      <c r="N58" s="225"/>
      <c r="O58" s="225"/>
      <c r="Q58" s="224"/>
      <c r="R58" s="224"/>
      <c r="S58" s="214"/>
    </row>
  </sheetData>
  <autoFilter ref="A3:S26"/>
  <mergeCells count="13">
    <mergeCell ref="A44:B44"/>
    <mergeCell ref="M2:Q2"/>
    <mergeCell ref="R2:R3"/>
    <mergeCell ref="S2:S3"/>
    <mergeCell ref="A9:B9"/>
    <mergeCell ref="A16:B16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25" activePane="bottomRight" state="frozen"/>
      <selection activeCell="B2" sqref="B2:B3"/>
      <selection pane="topRight" activeCell="B2" sqref="B2:B3"/>
      <selection pane="bottomLeft" activeCell="B2" sqref="B2: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75" t="s">
        <v>264</v>
      </c>
      <c r="B2" s="275" t="s">
        <v>265</v>
      </c>
      <c r="C2" s="277" t="s">
        <v>266</v>
      </c>
      <c r="D2" s="277"/>
      <c r="E2" s="278" t="s">
        <v>267</v>
      </c>
      <c r="F2" s="278"/>
      <c r="G2" s="278"/>
      <c r="H2" s="279" t="s">
        <v>268</v>
      </c>
      <c r="I2" s="279"/>
      <c r="J2" s="279"/>
      <c r="K2" s="280" t="s">
        <v>269</v>
      </c>
      <c r="L2" s="280"/>
      <c r="M2" s="273" t="s">
        <v>270</v>
      </c>
      <c r="N2" s="273"/>
      <c r="O2" s="273"/>
      <c r="P2" s="273"/>
      <c r="Q2" s="273"/>
      <c r="R2" s="274" t="s">
        <v>271</v>
      </c>
      <c r="S2" s="275" t="s">
        <v>272</v>
      </c>
    </row>
    <row r="3" spans="1:20" s="134" customFormat="1" ht="33" customHeight="1">
      <c r="A3" s="275"/>
      <c r="B3" s="275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4"/>
      <c r="S3" s="275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76" t="s">
        <v>288</v>
      </c>
      <c r="B9" s="276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76" t="s">
        <v>296</v>
      </c>
      <c r="B15" s="276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>ROW()-15</f>
        <v>1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1">F16-J16</f>
        <v>89500</v>
      </c>
      <c r="M16" s="158"/>
      <c r="N16" s="158"/>
      <c r="O16" s="158">
        <f t="shared" ref="O16:O23" si="2">IF((LEFT(B16,4)="1402"),F16*R16*DATEDIF(Q16,O$1,"d")/360,0)</f>
        <v>0</v>
      </c>
      <c r="P16" s="158">
        <f t="shared" ref="P16:P23" si="3">IF((LEFT(B16,4)="1015"),F16*R16*DATEDIF(Q16,Q$1,"d")/360,0)</f>
        <v>308.27777777777777</v>
      </c>
      <c r="Q16" s="146">
        <f t="shared" ref="Q16:Q23" si="4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ref="A17:A23" si="5">ROW()-15</f>
        <v>2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1"/>
        <v>89000</v>
      </c>
      <c r="M17" s="158"/>
      <c r="N17" s="158"/>
      <c r="O17" s="158">
        <f t="shared" si="2"/>
        <v>0</v>
      </c>
      <c r="P17" s="158">
        <f t="shared" si="3"/>
        <v>306.55555555555554</v>
      </c>
      <c r="Q17" s="146">
        <f t="shared" si="4"/>
        <v>42508</v>
      </c>
      <c r="R17" s="200">
        <v>0.04</v>
      </c>
      <c r="S17" s="163"/>
    </row>
    <row r="18" spans="1:19" s="154" customFormat="1" ht="17.25" customHeight="1">
      <c r="A18" s="180">
        <f t="shared" si="5"/>
        <v>3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1"/>
        <v>61000</v>
      </c>
      <c r="M18" s="158"/>
      <c r="N18" s="158"/>
      <c r="O18" s="158">
        <f t="shared" si="2"/>
        <v>0</v>
      </c>
      <c r="P18" s="158">
        <f t="shared" si="3"/>
        <v>210.11111111111111</v>
      </c>
      <c r="Q18" s="146">
        <f t="shared" si="4"/>
        <v>42508</v>
      </c>
      <c r="R18" s="200">
        <v>0.04</v>
      </c>
      <c r="S18" s="163"/>
    </row>
    <row r="19" spans="1:19" s="154" customFormat="1" ht="17.25" customHeight="1">
      <c r="A19" s="180">
        <f t="shared" si="5"/>
        <v>4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1"/>
        <v>89000</v>
      </c>
      <c r="M19" s="158"/>
      <c r="N19" s="158"/>
      <c r="O19" s="158">
        <f t="shared" si="2"/>
        <v>0</v>
      </c>
      <c r="P19" s="158">
        <f t="shared" si="3"/>
        <v>306.55555555555554</v>
      </c>
      <c r="Q19" s="146">
        <f t="shared" si="4"/>
        <v>42508</v>
      </c>
      <c r="R19" s="200">
        <v>0.04</v>
      </c>
      <c r="S19" s="163"/>
    </row>
    <row r="20" spans="1:19" s="186" customFormat="1" ht="17.25" customHeight="1">
      <c r="A20" s="180">
        <f t="shared" si="5"/>
        <v>5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1"/>
        <v>88000</v>
      </c>
      <c r="M20" s="158"/>
      <c r="N20" s="158"/>
      <c r="O20" s="158">
        <f t="shared" si="2"/>
        <v>0</v>
      </c>
      <c r="P20" s="158">
        <f t="shared" si="3"/>
        <v>303.11111111111109</v>
      </c>
      <c r="Q20" s="146">
        <f t="shared" si="4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5"/>
        <v>6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1"/>
        <v>97000</v>
      </c>
      <c r="M21" s="158"/>
      <c r="N21" s="158"/>
      <c r="O21" s="158">
        <f t="shared" si="2"/>
        <v>0</v>
      </c>
      <c r="P21" s="158">
        <f t="shared" si="3"/>
        <v>334.11111111111109</v>
      </c>
      <c r="Q21" s="146">
        <f t="shared" si="4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5"/>
        <v>7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1"/>
        <v>82000</v>
      </c>
      <c r="M22" s="158"/>
      <c r="N22" s="158"/>
      <c r="O22" s="158">
        <f t="shared" si="2"/>
        <v>0</v>
      </c>
      <c r="P22" s="158">
        <f t="shared" si="3"/>
        <v>282.44444444444446</v>
      </c>
      <c r="Q22" s="146">
        <f t="shared" si="4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5"/>
        <v>8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1"/>
        <v>90000</v>
      </c>
      <c r="M23" s="202"/>
      <c r="N23" s="202"/>
      <c r="O23" s="158">
        <f t="shared" si="2"/>
        <v>0</v>
      </c>
      <c r="P23" s="158">
        <f t="shared" si="3"/>
        <v>310</v>
      </c>
      <c r="Q23" s="146">
        <f t="shared" si="4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2" t="s">
        <v>288</v>
      </c>
      <c r="B25" s="272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ROW()-25</f>
        <v>1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ROW()-25</f>
        <v>2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3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4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5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6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7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8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9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10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11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12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13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14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15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2" t="s">
        <v>326</v>
      </c>
      <c r="B43" s="272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:B2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75" t="s">
        <v>264</v>
      </c>
      <c r="B2" s="275" t="s">
        <v>265</v>
      </c>
      <c r="C2" s="277" t="s">
        <v>266</v>
      </c>
      <c r="D2" s="277"/>
      <c r="E2" s="278" t="s">
        <v>267</v>
      </c>
      <c r="F2" s="278"/>
      <c r="G2" s="278"/>
      <c r="H2" s="279" t="s">
        <v>268</v>
      </c>
      <c r="I2" s="279"/>
      <c r="J2" s="279"/>
      <c r="K2" s="280" t="s">
        <v>269</v>
      </c>
      <c r="L2" s="280"/>
      <c r="M2" s="273" t="s">
        <v>270</v>
      </c>
      <c r="N2" s="273"/>
      <c r="O2" s="273"/>
      <c r="P2" s="273"/>
      <c r="Q2" s="273"/>
      <c r="R2" s="274" t="s">
        <v>271</v>
      </c>
      <c r="S2" s="275" t="s">
        <v>272</v>
      </c>
    </row>
    <row r="3" spans="1:20" s="134" customFormat="1" ht="33" customHeight="1">
      <c r="A3" s="275"/>
      <c r="B3" s="275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4"/>
      <c r="S3" s="275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76" t="s">
        <v>288</v>
      </c>
      <c r="B9" s="276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76" t="s">
        <v>296</v>
      </c>
      <c r="B15" s="276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 t="shared" ref="A16:A23" si="1">ROW()-16</f>
        <v>0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2">F16-J16</f>
        <v>89500</v>
      </c>
      <c r="M16" s="158"/>
      <c r="N16" s="158"/>
      <c r="O16" s="158">
        <f t="shared" ref="O16:O23" si="3">IF((LEFT(B16,4)="1402"),F16*R16*DATEDIF(Q16,O$1,"d")/360,0)</f>
        <v>0</v>
      </c>
      <c r="P16" s="158">
        <f t="shared" ref="P16:P23" si="4">IF((LEFT(B16,4)="1015"),F16*R16*DATEDIF(Q16,Q$1,"d")/360,0)</f>
        <v>308.27777777777777</v>
      </c>
      <c r="Q16" s="146">
        <f t="shared" ref="Q16:Q23" si="5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si="1"/>
        <v>1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2"/>
        <v>89000</v>
      </c>
      <c r="M17" s="158"/>
      <c r="N17" s="158"/>
      <c r="O17" s="158">
        <f t="shared" si="3"/>
        <v>0</v>
      </c>
      <c r="P17" s="158">
        <f t="shared" si="4"/>
        <v>306.55555555555554</v>
      </c>
      <c r="Q17" s="146">
        <f t="shared" si="5"/>
        <v>42508</v>
      </c>
      <c r="R17" s="200">
        <v>0.04</v>
      </c>
      <c r="S17" s="163"/>
    </row>
    <row r="18" spans="1:19" s="154" customFormat="1" ht="17.25" customHeight="1">
      <c r="A18" s="180">
        <f t="shared" si="1"/>
        <v>2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2"/>
        <v>61000</v>
      </c>
      <c r="M18" s="158"/>
      <c r="N18" s="158"/>
      <c r="O18" s="158">
        <f t="shared" si="3"/>
        <v>0</v>
      </c>
      <c r="P18" s="158">
        <f t="shared" si="4"/>
        <v>210.11111111111111</v>
      </c>
      <c r="Q18" s="146">
        <f t="shared" si="5"/>
        <v>42508</v>
      </c>
      <c r="R18" s="200">
        <v>0.04</v>
      </c>
      <c r="S18" s="163"/>
    </row>
    <row r="19" spans="1:19" s="154" customFormat="1" ht="17.25" customHeight="1">
      <c r="A19" s="180">
        <f t="shared" si="1"/>
        <v>3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2"/>
        <v>89000</v>
      </c>
      <c r="M19" s="158"/>
      <c r="N19" s="158"/>
      <c r="O19" s="158">
        <f t="shared" si="3"/>
        <v>0</v>
      </c>
      <c r="P19" s="158">
        <f t="shared" si="4"/>
        <v>306.55555555555554</v>
      </c>
      <c r="Q19" s="146">
        <f t="shared" si="5"/>
        <v>42508</v>
      </c>
      <c r="R19" s="200">
        <v>0.04</v>
      </c>
      <c r="S19" s="163"/>
    </row>
    <row r="20" spans="1:19" s="186" customFormat="1" ht="17.25" customHeight="1">
      <c r="A20" s="180">
        <f t="shared" si="1"/>
        <v>4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2"/>
        <v>88000</v>
      </c>
      <c r="M20" s="158"/>
      <c r="N20" s="158"/>
      <c r="O20" s="158">
        <f t="shared" si="3"/>
        <v>0</v>
      </c>
      <c r="P20" s="158">
        <f t="shared" si="4"/>
        <v>303.11111111111109</v>
      </c>
      <c r="Q20" s="146">
        <f t="shared" si="5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1"/>
        <v>5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2"/>
        <v>97000</v>
      </c>
      <c r="M21" s="158"/>
      <c r="N21" s="158"/>
      <c r="O21" s="158">
        <f t="shared" si="3"/>
        <v>0</v>
      </c>
      <c r="P21" s="158">
        <f t="shared" si="4"/>
        <v>334.11111111111109</v>
      </c>
      <c r="Q21" s="146">
        <f t="shared" si="5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1"/>
        <v>6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2"/>
        <v>82000</v>
      </c>
      <c r="M22" s="158"/>
      <c r="N22" s="158"/>
      <c r="O22" s="158">
        <f t="shared" si="3"/>
        <v>0</v>
      </c>
      <c r="P22" s="158">
        <f t="shared" si="4"/>
        <v>282.44444444444446</v>
      </c>
      <c r="Q22" s="146">
        <f t="shared" si="5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1"/>
        <v>7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2"/>
        <v>90000</v>
      </c>
      <c r="M23" s="202"/>
      <c r="N23" s="202"/>
      <c r="O23" s="158">
        <f t="shared" si="3"/>
        <v>0</v>
      </c>
      <c r="P23" s="158">
        <f t="shared" si="4"/>
        <v>310</v>
      </c>
      <c r="Q23" s="146">
        <f t="shared" si="5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2" t="s">
        <v>288</v>
      </c>
      <c r="B25" s="272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ROW()-26</f>
        <v>0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ROW()-26</f>
        <v>1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2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3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4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5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6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2" t="s">
        <v>326</v>
      </c>
      <c r="B43" s="272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TH</vt:lpstr>
      <vt:lpstr>UNC - EIB</vt:lpstr>
      <vt:lpstr>UNC - PV</vt:lpstr>
      <vt:lpstr>LC - PV</vt:lpstr>
      <vt:lpstr>LC - EIB</vt:lpstr>
      <vt:lpstr>U&amp;P</vt:lpstr>
      <vt:lpstr>04-16</vt:lpstr>
      <vt:lpstr>05-16</vt:lpstr>
      <vt:lpstr>06-16</vt:lpstr>
      <vt:lpstr>08-16</vt:lpstr>
      <vt:lpstr>09-16</vt:lpstr>
      <vt:lpstr>10-16</vt:lpstr>
      <vt:lpstr>11-16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'04-16'!Print_Titles</vt:lpstr>
      <vt:lpstr>'05-16'!Print_Titles</vt:lpstr>
      <vt:lpstr>'06-16'!Print_Titles</vt:lpstr>
      <vt:lpstr>'08-16'!Print_Titles</vt:lpstr>
      <vt:lpstr>'09-16'!Print_Titles</vt:lpstr>
      <vt:lpstr>'10-16'!Print_Titles</vt:lpstr>
      <vt:lpstr>'11-16'!Print_Titles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2016-12-06T07:46:27Z</cp:lastPrinted>
  <dcterms:created xsi:type="dcterms:W3CDTF">2016-07-02T08:51:17Z</dcterms:created>
  <dcterms:modified xsi:type="dcterms:W3CDTF">2016-12-06T09:14:18Z</dcterms:modified>
</cp:coreProperties>
</file>