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45" windowWidth="21840" windowHeight="7935" activeTab="1"/>
  </bookViews>
  <sheets>
    <sheet name="TH" sheetId="5" r:id="rId1"/>
    <sheet name="UNC - EIB" sheetId="6" r:id="rId2"/>
    <sheet name="UNC - PV" sheetId="2" r:id="rId3"/>
    <sheet name="LC - PV" sheetId="4" r:id="rId4"/>
    <sheet name="LC - EIB" sheetId="7" r:id="rId5"/>
    <sheet name="MAU" sheetId="18" r:id="rId6"/>
    <sheet name="U&amp;P" sheetId="8" r:id="rId7"/>
    <sheet name="01-17" sheetId="16" r:id="rId8"/>
    <sheet name="02-17" sheetId="17" r:id="rId9"/>
  </sheets>
  <externalReferences>
    <externalReference r:id="rId10"/>
  </externalReferences>
  <definedNames>
    <definedName name="_Fill" localSheetId="7" hidden="1">#REF!</definedName>
    <definedName name="_Fill" localSheetId="8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7" hidden="1">'01-17'!$A$3:$R$27</definedName>
    <definedName name="_xlnm._FilterDatabase" localSheetId="8" hidden="1">'02-17'!$A$3:$S$22</definedName>
    <definedName name="_xlnm._FilterDatabase" localSheetId="0" hidden="1">TH!$B$3:$X$227</definedName>
    <definedName name="Dong">IF(Loai="p1",ROW(Loai)-1,"")</definedName>
    <definedName name="DS">TH!$A$4:$Q$226</definedName>
    <definedName name="Loai">OFFSET(TH!$R$4,,,COUNTA(TH!$R$4:$R$39797))</definedName>
    <definedName name="N_1">TH!$R$4:$R$226</definedName>
    <definedName name="_xlnm.Print_Area" localSheetId="4">'LC - EIB'!$A$1:$Q$33</definedName>
    <definedName name="_xlnm.Print_Area" localSheetId="3">'LC - PV'!$A$1:$N$18</definedName>
    <definedName name="_xlnm.Print_Area" localSheetId="1">'UNC - EIB'!$A$1:$P$32</definedName>
    <definedName name="_xlnm.Print_Area" localSheetId="2">'UNC - PV'!$A$1:$M$18</definedName>
    <definedName name="_xlnm.Print_Titles" localSheetId="7">'01-17'!$2:$3</definedName>
    <definedName name="_xlnm.Print_Titles" localSheetId="8">'02-17'!$2:$3</definedName>
  </definedNames>
  <calcPr calcId="144525"/>
</workbook>
</file>

<file path=xl/calcChain.xml><?xml version="1.0" encoding="utf-8"?>
<calcChain xmlns="http://schemas.openxmlformats.org/spreadsheetml/2006/main">
  <c r="B210" i="5" l="1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04" i="5"/>
  <c r="B205" i="5"/>
  <c r="B206" i="5"/>
  <c r="B207" i="5"/>
  <c r="B208" i="5"/>
  <c r="B209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180" i="5" l="1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18" i="5"/>
  <c r="R219" i="5"/>
  <c r="R220" i="5"/>
  <c r="R221" i="5"/>
  <c r="R222" i="5"/>
  <c r="R223" i="5"/>
  <c r="R224" i="5"/>
  <c r="R225" i="5"/>
  <c r="R226" i="5"/>
  <c r="P202" i="5" l="1"/>
  <c r="A20" i="17" l="1"/>
  <c r="L20" i="17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28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L24" i="16"/>
  <c r="A22" i="16"/>
  <c r="A23" i="16"/>
  <c r="A24" i="16"/>
  <c r="A25" i="16"/>
  <c r="L21" i="16"/>
  <c r="L22" i="16"/>
  <c r="L23" i="16"/>
  <c r="L25" i="16"/>
  <c r="A21" i="16"/>
  <c r="J9" i="16"/>
  <c r="J27" i="16"/>
  <c r="J44" i="16"/>
  <c r="P42" i="16"/>
  <c r="P29" i="16"/>
  <c r="M29" i="16"/>
  <c r="P30" i="16"/>
  <c r="M30" i="16"/>
  <c r="P31" i="16"/>
  <c r="M31" i="16"/>
  <c r="P32" i="16"/>
  <c r="M32" i="16"/>
  <c r="P33" i="16"/>
  <c r="M33" i="16"/>
  <c r="P34" i="16"/>
  <c r="M34" i="16"/>
  <c r="P35" i="16"/>
  <c r="M35" i="16"/>
  <c r="P36" i="16"/>
  <c r="M36" i="16"/>
  <c r="P37" i="16"/>
  <c r="M37" i="16"/>
  <c r="P38" i="16"/>
  <c r="M38" i="16"/>
  <c r="P39" i="16"/>
  <c r="M39" i="16"/>
  <c r="P40" i="16"/>
  <c r="M40" i="16"/>
  <c r="P41" i="16"/>
  <c r="M41" i="16"/>
  <c r="P28" i="16"/>
  <c r="M28" i="16"/>
  <c r="R178" i="5"/>
  <c r="R179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3" i="5"/>
  <c r="R64" i="5"/>
  <c r="R65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3" i="5"/>
  <c r="R94" i="5"/>
  <c r="R95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8" i="5"/>
  <c r="R159" i="5"/>
  <c r="R160" i="5"/>
  <c r="R161" i="5"/>
  <c r="R162" i="5"/>
  <c r="R163" i="5"/>
  <c r="R164" i="5"/>
  <c r="R165" i="5"/>
  <c r="R166" i="5"/>
  <c r="R167" i="5"/>
  <c r="R168" i="5"/>
  <c r="R170" i="5"/>
  <c r="R171" i="5"/>
  <c r="R172" i="5"/>
  <c r="R173" i="5"/>
  <c r="R174" i="5"/>
  <c r="R175" i="5"/>
  <c r="R176" i="5"/>
  <c r="R177" i="5"/>
  <c r="P169" i="5"/>
  <c r="R169" i="5"/>
  <c r="R5" i="5"/>
  <c r="P22" i="5"/>
  <c r="R22" i="5"/>
  <c r="P62" i="5"/>
  <c r="R62" i="5"/>
  <c r="P66" i="5"/>
  <c r="R66" i="5" s="1"/>
  <c r="P67" i="5"/>
  <c r="R67" i="5" s="1"/>
  <c r="P92" i="5"/>
  <c r="R92" i="5" s="1"/>
  <c r="P96" i="5"/>
  <c r="R96" i="5" s="1"/>
  <c r="P121" i="5"/>
  <c r="R121" i="5" s="1"/>
  <c r="P157" i="5"/>
  <c r="R157" i="5" s="1"/>
  <c r="N40" i="17"/>
  <c r="J40" i="17"/>
  <c r="I40" i="17"/>
  <c r="G40" i="17"/>
  <c r="F40" i="17"/>
  <c r="P37" i="17"/>
  <c r="O37" i="17"/>
  <c r="L37" i="17"/>
  <c r="L40" i="17"/>
  <c r="K37" i="17"/>
  <c r="A37" i="17"/>
  <c r="P36" i="17"/>
  <c r="O36" i="17"/>
  <c r="A36" i="17"/>
  <c r="P35" i="17"/>
  <c r="O35" i="17"/>
  <c r="A35" i="17"/>
  <c r="P34" i="17"/>
  <c r="O34" i="17"/>
  <c r="A34" i="17"/>
  <c r="P33" i="17"/>
  <c r="O33" i="17"/>
  <c r="A33" i="17"/>
  <c r="P32" i="17"/>
  <c r="O32" i="17"/>
  <c r="A32" i="17"/>
  <c r="P31" i="17"/>
  <c r="O31" i="17"/>
  <c r="A31" i="17"/>
  <c r="P30" i="17"/>
  <c r="O30" i="17"/>
  <c r="A30" i="17"/>
  <c r="P29" i="17"/>
  <c r="O29" i="17"/>
  <c r="A29" i="17"/>
  <c r="P28" i="17"/>
  <c r="O28" i="17"/>
  <c r="A28" i="17"/>
  <c r="P27" i="17"/>
  <c r="O27" i="17"/>
  <c r="A27" i="17"/>
  <c r="P26" i="17"/>
  <c r="O26" i="17"/>
  <c r="A26" i="17"/>
  <c r="P25" i="17"/>
  <c r="O25" i="17"/>
  <c r="A25" i="17"/>
  <c r="P24" i="17"/>
  <c r="O24" i="17"/>
  <c r="A24" i="17"/>
  <c r="P23" i="17"/>
  <c r="O23" i="17"/>
  <c r="A23" i="17"/>
  <c r="M22" i="17"/>
  <c r="K22" i="17"/>
  <c r="J22" i="17"/>
  <c r="I22" i="17"/>
  <c r="F22" i="17"/>
  <c r="E22" i="17"/>
  <c r="P19" i="17"/>
  <c r="N19" i="17"/>
  <c r="O19" i="17"/>
  <c r="L19" i="17"/>
  <c r="A19" i="17"/>
  <c r="P18" i="17"/>
  <c r="P22" i="17" s="1"/>
  <c r="O18" i="17"/>
  <c r="L18" i="17"/>
  <c r="A18" i="17"/>
  <c r="P17" i="17"/>
  <c r="O17" i="17"/>
  <c r="L17" i="17"/>
  <c r="A17" i="17"/>
  <c r="P16" i="17"/>
  <c r="O16" i="17"/>
  <c r="L16" i="17"/>
  <c r="A16" i="17"/>
  <c r="P15" i="17"/>
  <c r="O15" i="17"/>
  <c r="L15" i="17"/>
  <c r="A15" i="17"/>
  <c r="T14" i="17"/>
  <c r="P14" i="17"/>
  <c r="O14" i="17"/>
  <c r="L14" i="17"/>
  <c r="A14" i="17"/>
  <c r="P13" i="17"/>
  <c r="O13" i="17"/>
  <c r="L13" i="17"/>
  <c r="A13" i="17"/>
  <c r="P12" i="17"/>
  <c r="O12" i="17"/>
  <c r="L12" i="17"/>
  <c r="A12" i="17"/>
  <c r="P11" i="17"/>
  <c r="O11" i="17"/>
  <c r="L11" i="17"/>
  <c r="A11" i="17"/>
  <c r="P10" i="17"/>
  <c r="O10" i="17"/>
  <c r="L10" i="17"/>
  <c r="A10" i="17"/>
  <c r="N9" i="17"/>
  <c r="J9" i="17"/>
  <c r="G9" i="17"/>
  <c r="G22" i="17"/>
  <c r="F9" i="17"/>
  <c r="P7" i="17"/>
  <c r="O7" i="17"/>
  <c r="L7" i="17"/>
  <c r="A7" i="17"/>
  <c r="P6" i="17"/>
  <c r="O6" i="17"/>
  <c r="L6" i="17"/>
  <c r="A6" i="17"/>
  <c r="P5" i="17"/>
  <c r="O5" i="17"/>
  <c r="L5" i="17"/>
  <c r="A5" i="17"/>
  <c r="P4" i="17"/>
  <c r="P9" i="17" s="1"/>
  <c r="O4" i="17"/>
  <c r="O9" i="17" s="1"/>
  <c r="L4" i="17"/>
  <c r="L9" i="17"/>
  <c r="A4" i="17"/>
  <c r="L17" i="16"/>
  <c r="E7" i="2"/>
  <c r="F27" i="16"/>
  <c r="I44" i="16"/>
  <c r="G44" i="16"/>
  <c r="F44" i="16"/>
  <c r="E44" i="16"/>
  <c r="O42" i="16"/>
  <c r="N42" i="16"/>
  <c r="L42" i="16"/>
  <c r="L44" i="16"/>
  <c r="K42" i="16"/>
  <c r="O41" i="16"/>
  <c r="N41" i="16"/>
  <c r="K41" i="16"/>
  <c r="E36" i="17"/>
  <c r="O40" i="16"/>
  <c r="N40" i="16"/>
  <c r="K40" i="16"/>
  <c r="E35" i="17"/>
  <c r="O39" i="16"/>
  <c r="N39" i="16"/>
  <c r="K39" i="16"/>
  <c r="E34" i="17"/>
  <c r="O38" i="16"/>
  <c r="N38" i="16"/>
  <c r="K38" i="16"/>
  <c r="E33" i="17"/>
  <c r="O37" i="16"/>
  <c r="N37" i="16"/>
  <c r="K37" i="16"/>
  <c r="E32" i="17"/>
  <c r="O36" i="16"/>
  <c r="N36" i="16"/>
  <c r="K36" i="16"/>
  <c r="E31" i="17"/>
  <c r="O35" i="16"/>
  <c r="N35" i="16"/>
  <c r="K35" i="16"/>
  <c r="E30" i="17"/>
  <c r="O34" i="16"/>
  <c r="N34" i="16"/>
  <c r="K34" i="16"/>
  <c r="E29" i="17"/>
  <c r="O33" i="16"/>
  <c r="N33" i="16"/>
  <c r="K33" i="16"/>
  <c r="E28" i="17"/>
  <c r="O32" i="16"/>
  <c r="N32" i="16"/>
  <c r="K32" i="16"/>
  <c r="E27" i="17"/>
  <c r="O31" i="16"/>
  <c r="N31" i="16"/>
  <c r="K31" i="16"/>
  <c r="E26" i="17"/>
  <c r="O30" i="16"/>
  <c r="N30" i="16"/>
  <c r="K30" i="16"/>
  <c r="E25" i="17"/>
  <c r="O29" i="16"/>
  <c r="N29" i="16"/>
  <c r="K29" i="16"/>
  <c r="E24" i="17"/>
  <c r="O28" i="16"/>
  <c r="N28" i="16"/>
  <c r="K28" i="16"/>
  <c r="E23" i="17"/>
  <c r="M27" i="16"/>
  <c r="K27" i="16"/>
  <c r="I27" i="16"/>
  <c r="E27" i="16"/>
  <c r="A17" i="16"/>
  <c r="L12" i="16"/>
  <c r="A12" i="16"/>
  <c r="L11" i="16"/>
  <c r="A11" i="16"/>
  <c r="N10" i="16"/>
  <c r="L10" i="16"/>
  <c r="A10" i="16"/>
  <c r="L20" i="16"/>
  <c r="A20" i="16"/>
  <c r="L19" i="16"/>
  <c r="A19" i="16"/>
  <c r="S18" i="16"/>
  <c r="L18" i="16"/>
  <c r="A18" i="16"/>
  <c r="L13" i="16"/>
  <c r="A13" i="16"/>
  <c r="L14" i="16"/>
  <c r="A14" i="16"/>
  <c r="L15" i="16"/>
  <c r="A15" i="16"/>
  <c r="L16" i="16"/>
  <c r="A16" i="16"/>
  <c r="G9" i="16"/>
  <c r="G27" i="16"/>
  <c r="F9" i="16"/>
  <c r="O7" i="16"/>
  <c r="N7" i="16"/>
  <c r="L7" i="16"/>
  <c r="A7" i="16"/>
  <c r="O6" i="16"/>
  <c r="N6" i="16"/>
  <c r="L6" i="16"/>
  <c r="A6" i="16"/>
  <c r="O5" i="16"/>
  <c r="N5" i="16"/>
  <c r="L5" i="16"/>
  <c r="A5" i="16"/>
  <c r="O4" i="16"/>
  <c r="N4" i="16"/>
  <c r="L4" i="16"/>
  <c r="L9" i="16"/>
  <c r="A4" i="16"/>
  <c r="R4" i="5"/>
  <c r="A4" i="5"/>
  <c r="A1" i="6"/>
  <c r="O22" i="6"/>
  <c r="B4" i="5"/>
  <c r="A1" i="2"/>
  <c r="K8" i="2"/>
  <c r="L8" i="2"/>
  <c r="O22" i="17"/>
  <c r="L22" i="17"/>
  <c r="P40" i="17"/>
  <c r="O9" i="16"/>
  <c r="L27" i="16"/>
  <c r="N27" i="16"/>
  <c r="O27" i="16"/>
  <c r="N9" i="16"/>
  <c r="O44" i="16"/>
  <c r="K24" i="17"/>
  <c r="M24" i="17"/>
  <c r="K28" i="17"/>
  <c r="M28" i="17"/>
  <c r="M23" i="17"/>
  <c r="E40" i="17"/>
  <c r="K23" i="17"/>
  <c r="M27" i="17"/>
  <c r="K27" i="17"/>
  <c r="M31" i="17"/>
  <c r="K31" i="17"/>
  <c r="K35" i="17"/>
  <c r="M35" i="17"/>
  <c r="M26" i="17"/>
  <c r="K26" i="17"/>
  <c r="M30" i="17"/>
  <c r="K30" i="17"/>
  <c r="M34" i="17"/>
  <c r="K34" i="17"/>
  <c r="M25" i="17"/>
  <c r="K25" i="17"/>
  <c r="K29" i="17"/>
  <c r="M29" i="17"/>
  <c r="K33" i="17"/>
  <c r="M33" i="17"/>
  <c r="M36" i="17"/>
  <c r="K36" i="17"/>
  <c r="K32" i="17"/>
  <c r="M32" i="17"/>
  <c r="K44" i="16"/>
  <c r="M44" i="16"/>
  <c r="N44" i="16"/>
  <c r="O40" i="17"/>
  <c r="M40" i="17"/>
  <c r="K40" i="17"/>
  <c r="N22" i="6" l="1"/>
  <c r="C18" i="6"/>
  <c r="E17" i="2"/>
  <c r="J13" i="4"/>
  <c r="H10" i="6"/>
  <c r="L19" i="7"/>
  <c r="H16" i="4"/>
  <c r="C12" i="6"/>
  <c r="E16" i="2"/>
  <c r="E14" i="4"/>
  <c r="C24" i="7"/>
  <c r="C13" i="7"/>
  <c r="C7" i="7"/>
  <c r="N13" i="4"/>
  <c r="E13" i="4"/>
  <c r="O23" i="7"/>
  <c r="L17" i="7"/>
  <c r="C23" i="6"/>
  <c r="F12" i="4"/>
  <c r="L15" i="7"/>
  <c r="C6" i="6"/>
  <c r="C8" i="6"/>
  <c r="C9" i="7"/>
  <c r="E8" i="4"/>
  <c r="C14" i="6"/>
  <c r="H11" i="7"/>
  <c r="F13" i="2"/>
  <c r="F11" i="2"/>
  <c r="H13" i="4"/>
  <c r="F8" i="2"/>
  <c r="C16" i="6"/>
  <c r="I13" i="4"/>
  <c r="C20" i="6"/>
  <c r="F9" i="2"/>
  <c r="C21" i="7"/>
  <c r="F9" i="4"/>
</calcChain>
</file>

<file path=xl/comments1.xml><?xml version="1.0" encoding="utf-8"?>
<comments xmlns="http://schemas.openxmlformats.org/spreadsheetml/2006/main">
  <authors>
    <author>User 1</author>
  </authors>
  <commentList>
    <comment ref="Q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<sst xmlns="http://schemas.openxmlformats.org/spreadsheetml/2006/main" count="2129" uniqueCount="505">
  <si>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</si>
  <si>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</si>
  <si>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</si>
  <si>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</si>
  <si>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</si>
  <si>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</si>
  <si>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</si>
  <si>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</si>
  <si>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</si>
  <si>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TPHCM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</si>
  <si>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</si>
  <si>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</si>
  <si>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</si>
  <si>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</si>
  <si>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</si>
  <si>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</si>
  <si>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</si>
  <si>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</si>
  <si>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</si>
  <si>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</si>
  <si>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</si>
  <si>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</si>
  <si>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</si>
  <si>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</si>
  <si>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</si>
  <si>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</si>
  <si>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</si>
  <si>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</si>
  <si>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</si>
  <si>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</si>
  <si>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</si>
  <si>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</si>
  <si>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</si>
  <si>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</si>
  <si>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</si>
  <si>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</si>
  <si>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</si>
  <si>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</si>
  <si>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</si>
  <si>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</si>
  <si>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</si>
  <si>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</si>
  <si>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</si>
  <si>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</si>
  <si>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</si>
  <si>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</si>
  <si>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</si>
  <si>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</si>
  <si>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</si>
  <si>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</si>
  <si>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</si>
  <si>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</si>
  <si>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</si>
  <si>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</si>
  <si>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</si>
  <si>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</si>
  <si>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</si>
  <si>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</si>
  <si>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</si>
  <si>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</si>
  <si>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</si>
  <si>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</si>
  <si>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</si>
  <si>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</si>
  <si>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</si>
  <si>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</si>
  <si>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</si>
  <si>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</si>
  <si>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</si>
  <si>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</si>
  <si>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</si>
  <si>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</si>
  <si>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</si>
  <si>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</si>
  <si>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</si>
  <si>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</si>
  <si>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</si>
  <si>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</si>
  <si>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</si>
  <si>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</si>
  <si>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</si>
  <si>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</si>
  <si>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</si>
  <si>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</si>
  <si>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</si>
  <si>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</si>
  <si>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</si>
  <si>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</si>
  <si>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</si>
  <si>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</si>
  <si>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</si>
  <si>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</si>
  <si>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</si>
  <si>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</si>
  <si>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</si>
  <si>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</si>
  <si>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</si>
  <si>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</si>
  <si>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</si>
  <si>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</si>
  <si>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</si>
  <si>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</si>
  <si>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</si>
  <si>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</si>
  <si>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</si>
  <si>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</si>
  <si>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</si>
  <si>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</si>
  <si>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</si>
  <si>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</si>
  <si>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</si>
  <si>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</si>
  <si>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</si>
  <si>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</si>
  <si>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</si>
  <si>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</si>
  <si>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</si>
  <si>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</si>
  <si>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</si>
  <si>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</si>
  <si>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</si>
  <si>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</si>
  <si>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</si>
  <si>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</si>
  <si>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</si>
  <si>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</si>
  <si>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</si>
  <si>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</si>
  <si>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</si>
  <si>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</si>
  <si>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</si>
  <si>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</si>
  <si>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</si>
  <si>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128 196 099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</si>
  <si>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</si>
  <si>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</si>
  <si>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</si>
  <si>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</si>
  <si>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</si>
  <si>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</si>
  <si>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</si>
  <si>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</si>
  <si>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</si>
  <si>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</si>
  <si>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</si>
  <si>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</si>
  <si>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</si>
  <si>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</si>
  <si>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</si>
  <si>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</si>
  <si>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</si>
  <si>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</si>
  <si>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</si>
  <si>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</si>
  <si>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</si>
  <si>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</si>
  <si>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</si>
  <si>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</si>
  <si>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</si>
  <si>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</si>
  <si>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</si>
  <si>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</si>
  <si>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</si>
  <si>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</si>
  <si>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</si>
  <si>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</si>
  <si>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</si>
  <si>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</si>
  <si>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</si>
  <si>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</si>
  <si>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</si>
  <si>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</si>
  <si>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</si>
  <si>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</si>
  <si>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</si>
  <si>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</si>
  <si>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</si>
  <si>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</si>
  <si>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</si>
  <si>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</si>
  <si>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</si>
  <si>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</si>
  <si>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</si>
  <si>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</si>
  <si>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</si>
  <si>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</si>
  <si>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</si>
  <si>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</si>
  <si>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</si>
  <si>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</si>
  <si>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</si>
  <si>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</si>
  <si>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</si>
  <si>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</si>
  <si>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</si>
  <si>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</si>
  <si>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</si>
  <si>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</si>
  <si>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</si>
  <si>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</si>
  <si>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</si>
  <si>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1020 1000 0712 510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</si>
  <si>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</si>
  <si>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</si>
  <si>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</si>
  <si>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</si>
  <si>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</si>
  <si>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</si>
  <si>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</si>
  <si>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</si>
  <si>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</si>
  <si>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</si>
  <si>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</si>
  <si>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</si>
  <si>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</si>
  <si>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</si>
  <si>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</si>
  <si>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</si>
  <si>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</si>
  <si>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</si>
  <si>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</si>
  <si>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</si>
  <si>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</si>
  <si>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</si>
  <si>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</si>
  <si>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</si>
  <si>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</si>
  <si>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</si>
  <si>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</si>
  <si>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</si>
  <si>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</si>
  <si>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</si>
  <si>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</si>
  <si>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</si>
  <si>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</si>
  <si>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</si>
  <si>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</si>
  <si>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</si>
  <si>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</si>
  <si>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</si>
  <si>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</si>
  <si>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</si>
  <si>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</si>
  <si>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</si>
  <si>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</si>
  <si>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</si>
  <si>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</si>
  <si>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</si>
  <si>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</si>
  <si>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</si>
  <si>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</si>
  <si>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</si>
  <si>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</si>
  <si>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</si>
  <si>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</si>
  <si>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</si>
  <si>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</si>
  <si>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</si>
  <si>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</si>
  <si>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</si>
  <si>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</si>
  <si>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</si>
  <si>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</si>
  <si>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</si>
  <si>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</si>
  <si>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</si>
  <si>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</si>
  <si>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</si>
  <si>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</si>
  <si>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</si>
  <si>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</si>
  <si>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</si>
  <si>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</si>
  <si>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</si>
  <si>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</si>
  <si>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</si>
  <si>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</si>
  <si>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LA</t>
  </si>
  <si>
    <t>3C 01</t>
  </si>
  <si>
    <t>TC: Q4 - LA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</si>
  <si>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</si>
  <si>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</si>
  <si>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</si>
  <si>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</si>
  <si>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</si>
  <si>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</si>
  <si>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</si>
  <si>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</si>
  <si>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</si>
  <si>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</si>
  <si>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</si>
  <si>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</si>
  <si>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</si>
  <si>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</si>
  <si>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</si>
  <si>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TC: Q4 - TV</t>
  </si>
  <si>
    <t>1402 148 5100 9479</t>
  </si>
  <si>
    <t>Tỷ giá</t>
  </si>
  <si>
    <t>1025 000021 6241</t>
  </si>
  <si>
    <t>1025 000021 6265</t>
  </si>
  <si>
    <t>1025 037000 1485</t>
  </si>
  <si>
    <t>1025 037000 1526</t>
  </si>
  <si>
    <t>PB16010048099 - Thanh toán tiền điện kỳ 2 tháng 08 năm 2016</t>
  </si>
  <si>
    <t>1402LDS201601563</t>
  </si>
  <si>
    <t>1402LDS201601331</t>
  </si>
  <si>
    <t>TC: PVcombank - LA</t>
  </si>
  <si>
    <t>1025 037000 1629</t>
  </si>
  <si>
    <t>PVCombank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</si>
  <si>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</si>
  <si>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</si>
  <si>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</si>
  <si>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</si>
  <si>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</si>
  <si>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</si>
  <si>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1025 037000 1643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</si>
  <si>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</si>
  <si>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</si>
  <si>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</si>
  <si>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</si>
  <si>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</si>
  <si>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</si>
  <si>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</si>
  <si>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</si>
  <si>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</si>
  <si>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</si>
  <si>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</si>
  <si>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</si>
  <si>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</si>
  <si>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</si>
  <si>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</si>
  <si>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</si>
  <si>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</si>
  <si>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</si>
  <si>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</si>
  <si>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</si>
  <si>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</si>
  <si>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</si>
  <si>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</si>
  <si>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</si>
  <si>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</si>
  <si>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</si>
  <si>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</si>
  <si>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</si>
  <si>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</si>
  <si>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</si>
  <si>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</si>
  <si>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</si>
  <si>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</si>
  <si>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</si>
  <si>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</si>
  <si>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</si>
  <si>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7406 202 959 035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</si>
  <si>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</si>
  <si>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</si>
  <si>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</si>
  <si>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</si>
  <si>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</si>
  <si>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</si>
  <si>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</si>
  <si>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</si>
  <si>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</si>
  <si>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</si>
  <si>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</si>
  <si>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</si>
  <si>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</si>
  <si>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</si>
  <si>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</si>
  <si>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</si>
  <si>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</si>
  <si>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3751 0 1031156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</si>
  <si>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</si>
  <si>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</si>
  <si>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</si>
  <si>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</si>
  <si>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</si>
  <si>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</si>
  <si>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</si>
  <si>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</si>
  <si>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1025 037000 1791</t>
  </si>
  <si>
    <t>1025 037000 1863</t>
  </si>
  <si>
    <t>ZhouHan</t>
  </si>
  <si>
    <t>Flak Vostok LCC</t>
  </si>
  <si>
    <t>Tokai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</si>
  <si>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</si>
  <si>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</si>
  <si>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</si>
  <si>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</si>
  <si>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</si>
  <si>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</si>
  <si>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</si>
  <si>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</si>
  <si>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</si>
  <si>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</si>
  <si>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</si>
  <si>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</si>
  <si>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</si>
  <si>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</si>
  <si>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</si>
  <si>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</si>
  <si>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</si>
  <si>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</si>
  <si>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</si>
  <si>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</si>
  <si>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</si>
  <si>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</si>
  <si>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</si>
  <si>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</si>
  <si>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</si>
  <si>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</si>
  <si>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</si>
  <si>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</si>
  <si>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</si>
  <si>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</si>
  <si>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</si>
  <si>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</si>
  <si>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</si>
  <si>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</si>
  <si>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</si>
  <si>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MKH: PB06030022841- Tiền điện kỳ 1 tháng 12 năm 2016</t>
  </si>
  <si>
    <t>CTY TNHH MTV THIỆN TÀI</t>
  </si>
  <si>
    <t>7341 0000 0026 34</t>
  </si>
  <si>
    <t>BIDV – CHI NHÁNH TRÀ VINH</t>
  </si>
  <si>
    <t>Thanh toán tiền máy lạnh</t>
  </si>
  <si>
    <t>0500 3969 9831</t>
  </si>
  <si>
    <t>PB16010048099 - Thanh toán tiền điện kỳ 1&amp;2 tháng 12 năm 2016</t>
  </si>
  <si>
    <t>MKH: PB06030022841- Tiền điện kỳ 2 tháng 12 năm 2016</t>
  </si>
  <si>
    <t>1025 037000 2013</t>
  </si>
  <si>
    <t>1402LDS201602725</t>
  </si>
  <si>
    <t>1402LDS201602654</t>
  </si>
  <si>
    <t>1402LDS201602853</t>
  </si>
  <si>
    <t>EXIMBANK Chi Nhánh Quận 4</t>
  </si>
  <si>
    <t>Địa chỉ: Tòa Nhà H2, 196 Hoàng Diệu, P.8, Q.4, TP HCM</t>
  </si>
  <si>
    <t>Chi Nhánh PVcombank Gia Định</t>
  </si>
  <si>
    <t>Địa chỉ: 495-497 An Dương Vương, P.8, Q.5, TP HCM</t>
  </si>
  <si>
    <t>ĐTDĐ: 0909 616 559 - Nguyễn Thị Thanh Thảo</t>
  </si>
  <si>
    <t>Địa chỉ: Lô A14, Đường 4A, KCN Hải Sơn, Huyện Đức Hòa, Tỉnh Long An</t>
  </si>
  <si>
    <t>Điện thoại: +08 39414947 - Fax: +848 39414950</t>
  </si>
  <si>
    <t>Điện thoại: +072 3850 606 (EXT: 12) - Fax: +072 3850 608</t>
  </si>
  <si>
    <t>Điện thoại: +08 35207168 (EXT: 3086)</t>
  </si>
  <si>
    <t>VPBank - Chi Nhánh Long An</t>
  </si>
  <si>
    <t>Địa chỉ: Số 6, Lê Cao Dõng, P.2, Tân An, Long An</t>
  </si>
  <si>
    <t>Điện thoại: 072 3524 524 (EXT: 129)</t>
  </si>
  <si>
    <t>ĐTDĐ: 0934 665 358 - Dương Quốc Vũ</t>
  </si>
  <si>
    <t>Thanh toán phí kiểm nghiệm T11/2016</t>
  </si>
  <si>
    <t>MKH: PB06030022841- Tiền điện kỳ 3 tháng 12 năm 2016</t>
  </si>
  <si>
    <t>Thanh toán phí kiểm nghiệm T12/2016</t>
  </si>
  <si>
    <t>1020 1000 0545 109</t>
  </si>
  <si>
    <t>TRÀ VINH</t>
  </si>
  <si>
    <t>TRUNG TÂM KỸ THUẬT TÀI NGUYÊN VÀ MÔI TRƯỜNG</t>
  </si>
  <si>
    <t>Thanh toán tiền môi trường</t>
  </si>
  <si>
    <t>PB16010048099 - Thanh toán tiền điện kỳ 1 tháng 1 năm 2017</t>
  </si>
  <si>
    <t>CTY CỔ PHẦN THỦY SẢN HIỆP PHÁT</t>
  </si>
  <si>
    <t>0700 0544 7400</t>
  </si>
  <si>
    <t>SACOMBANK - PGD MINH LƯƠNG</t>
  </si>
  <si>
    <t>KIÊN GIANG</t>
  </si>
  <si>
    <t>VIETINBANK – CN TP.HCM</t>
  </si>
  <si>
    <t>CÔNG TY TNHH THƯƠNG MẠI XUẤT NHẬP KHẨU VẬN TẢI VĨNH PHÁT</t>
  </si>
  <si>
    <t>0421 000 457 457</t>
  </si>
  <si>
    <t>Vietcombank CN Phú Thọ</t>
  </si>
  <si>
    <t>Thanh toán tiền vận tải - Vĩnh Phát</t>
  </si>
  <si>
    <t>LC- Chung Haewon</t>
  </si>
  <si>
    <t>CK-Kojubu (Ghẹ)</t>
  </si>
  <si>
    <t>CK-Kojubu (Cá bò)</t>
  </si>
  <si>
    <t>CK-Tokai</t>
  </si>
  <si>
    <t>CK-Michang</t>
  </si>
  <si>
    <t>1025 037000 2068</t>
  </si>
  <si>
    <t>1025 037000 1959</t>
  </si>
  <si>
    <t>1025 037000 1973</t>
  </si>
  <si>
    <t>1025 037000 2006</t>
  </si>
  <si>
    <t>1025 037000 2130</t>
  </si>
  <si>
    <t>1025 037000 2147</t>
  </si>
  <si>
    <t>1025 037000 2226</t>
  </si>
  <si>
    <t>1025 037000 2219</t>
  </si>
  <si>
    <t>1025 037000 2233</t>
  </si>
  <si>
    <t>Thanh toán dự án Trà Vinh</t>
  </si>
  <si>
    <t>CTY TNHH MTV THANH HOÀNG THANH</t>
  </si>
  <si>
    <t>017 100 325 7097</t>
  </si>
  <si>
    <t>NH TMCP An Bình – PGD Khánh Hội</t>
  </si>
  <si>
    <t>Thanh toán tiền thi công công trình - Thanh Hoàng Thanh</t>
  </si>
  <si>
    <t>VIETCOMBANK – CN. BÌNH TÂY</t>
  </si>
  <si>
    <t>Thanh toán VLXD Trà Vinh</t>
  </si>
  <si>
    <t>CTY TNHH PHI HẢI</t>
  </si>
  <si>
    <t>07 000 443 4690</t>
  </si>
  <si>
    <t>NH Sacombank – CN Sóc Trăng</t>
  </si>
  <si>
    <t>1025 037000 2116</t>
  </si>
  <si>
    <t>MKH: PB06030022841- Tiền điện kỳ 1&amp;2 tháng 01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</si>
  <si>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</si>
  <si>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</si>
  <si>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</si>
  <si>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</si>
  <si>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Thanh toán tiền cước vận chuyển &amp; phí liên quan - asia</t>
  </si>
  <si>
    <t>CTY CỔ PHẦN BẢO HIỂM VIỄN ĐÔNG-SỞ GIAO DỊCH TPHCM</t>
  </si>
  <si>
    <t>0600 0598 0634</t>
  </si>
  <si>
    <t>Sacombank - CN Trung Tân</t>
  </si>
  <si>
    <t>Thanh toán tiền BH của HĐ: 16-99-11-020303-0056862</t>
  </si>
  <si>
    <t>Thanh toán tiền hàng - Trà Vinh</t>
  </si>
  <si>
    <t>PB16010048099 - Thanh toán tiền điện kỳ 2/T1 &amp; kỳ 1,2/T2 năm 2017</t>
  </si>
  <si>
    <t>MKH: PB06030022841- Tiền điện kỳ 3/T1 &amp; kỳ 1,2/T2 năm 2017</t>
  </si>
  <si>
    <t>1402LDS201700049</t>
  </si>
  <si>
    <t>Thanh toán phí kiểm nghiệm T01/2017</t>
  </si>
  <si>
    <t>117.00000.4257</t>
  </si>
  <si>
    <t>CTY TNHH THƯƠNG MẠI VÀ DỊCH VỤ MAI PHƯƠNG HUY</t>
  </si>
  <si>
    <t>0040 9362.0001</t>
  </si>
  <si>
    <t>NH Đông Á - CN Phường Cầu Kho</t>
  </si>
  <si>
    <t>Thanh toán tiền máy photocopy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</si>
</sst>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6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.5"/>
      <color rgb="FF0000FF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54" fillId="5" borderId="1"/>
    <xf numFmtId="43" fontId="51" fillId="0" borderId="0" applyFont="0" applyFill="0" applyBorder="0" applyAlignment="0" applyProtection="0"/>
    <xf numFmtId="43" fontId="55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4" fillId="5" borderId="1">
      <alignment horizontal="centerContinuous" vertical="center" wrapText="1"/>
    </xf>
    <xf numFmtId="3" fontId="54" fillId="5" borderId="1">
      <alignment horizontal="center" vertical="center" wrapText="1"/>
    </xf>
    <xf numFmtId="2" fontId="1" fillId="0" borderId="0" applyFont="0" applyFill="0" applyBorder="0" applyAlignment="0" applyProtection="0"/>
    <xf numFmtId="0" fontId="56" fillId="0" borderId="20" applyNumberFormat="0" applyAlignment="0" applyProtection="0">
      <alignment horizontal="left" vertical="center"/>
    </xf>
    <xf numFmtId="0" fontId="56" fillId="0" borderId="6">
      <alignment horizontal="left" vertical="center"/>
    </xf>
    <xf numFmtId="3" fontId="54" fillId="0" borderId="21"/>
    <xf numFmtId="3" fontId="57" fillId="0" borderId="22"/>
    <xf numFmtId="3" fontId="54" fillId="0" borderId="1">
      <alignment horizontal="center" vertical="center" wrapText="1"/>
    </xf>
    <xf numFmtId="3" fontId="54" fillId="0" borderId="1">
      <alignment horizontal="centerContinuous" vertical="center"/>
    </xf>
    <xf numFmtId="165" fontId="58" fillId="0" borderId="19"/>
    <xf numFmtId="0" fontId="51" fillId="0" borderId="0"/>
    <xf numFmtId="0" fontId="30" fillId="0" borderId="0"/>
    <xf numFmtId="0" fontId="59" fillId="0" borderId="0">
      <alignment horizontal="centerContinuous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6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62" fillId="0" borderId="0" applyFont="0" applyFill="0" applyBorder="0" applyAlignment="0" applyProtection="0"/>
    <xf numFmtId="171" fontId="62" fillId="0" borderId="0" applyFont="0" applyFill="0" applyBorder="0" applyAlignment="0" applyProtection="0"/>
    <xf numFmtId="0" fontId="63" fillId="0" borderId="0"/>
    <xf numFmtId="0" fontId="66" fillId="0" borderId="0"/>
  </cellStyleXfs>
  <cellXfs count="25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vertical="center"/>
    </xf>
    <xf numFmtId="14" fontId="36" fillId="4" borderId="0" xfId="3" applyNumberFormat="1" applyFont="1" applyFill="1" applyAlignment="1">
      <alignment horizontal="center" vertical="center"/>
    </xf>
    <xf numFmtId="14" fontId="35" fillId="4" borderId="0" xfId="3" applyNumberFormat="1" applyFont="1" applyFill="1" applyAlignment="1">
      <alignment horizontal="center" vertical="center"/>
    </xf>
    <xf numFmtId="164" fontId="35" fillId="4" borderId="0" xfId="4" applyNumberFormat="1" applyFont="1" applyFill="1" applyAlignment="1">
      <alignment vertical="center"/>
    </xf>
    <xf numFmtId="43" fontId="35" fillId="4" borderId="0" xfId="4" applyFont="1" applyFill="1" applyAlignment="1">
      <alignment vertical="center"/>
    </xf>
    <xf numFmtId="14" fontId="37" fillId="4" borderId="0" xfId="4" applyNumberFormat="1" applyFont="1" applyFill="1" applyAlignment="1">
      <alignment horizontal="center" vertical="center"/>
    </xf>
    <xf numFmtId="164" fontId="37" fillId="4" borderId="0" xfId="4" applyNumberFormat="1" applyFont="1" applyFill="1" applyAlignment="1">
      <alignment vertical="center"/>
    </xf>
    <xf numFmtId="14" fontId="38" fillId="4" borderId="15" xfId="3" applyNumberFormat="1" applyFont="1" applyFill="1" applyBorder="1" applyAlignment="1">
      <alignment horizontal="center"/>
    </xf>
    <xf numFmtId="0" fontId="39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vertical="center"/>
    </xf>
    <xf numFmtId="0" fontId="40" fillId="4" borderId="0" xfId="3" applyFont="1" applyFill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 wrapText="1"/>
    </xf>
    <xf numFmtId="164" fontId="40" fillId="4" borderId="1" xfId="4" applyNumberFormat="1" applyFont="1" applyFill="1" applyBorder="1" applyAlignment="1">
      <alignment horizontal="center" vertical="center" wrapText="1"/>
    </xf>
    <xf numFmtId="43" fontId="40" fillId="4" borderId="1" xfId="4" applyFont="1" applyFill="1" applyBorder="1" applyAlignment="1">
      <alignment horizontal="center" vertical="center"/>
    </xf>
    <xf numFmtId="14" fontId="43" fillId="4" borderId="1" xfId="4" applyNumberFormat="1" applyFont="1" applyFill="1" applyBorder="1" applyAlignment="1">
      <alignment horizontal="center" vertical="center" wrapText="1"/>
    </xf>
    <xf numFmtId="0" fontId="42" fillId="4" borderId="1" xfId="3" applyFont="1" applyFill="1" applyBorder="1" applyAlignment="1">
      <alignment horizontal="center" vertical="center"/>
    </xf>
    <xf numFmtId="0" fontId="44" fillId="4" borderId="3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 wrapText="1"/>
    </xf>
    <xf numFmtId="43" fontId="44" fillId="4" borderId="3" xfId="4" applyFont="1" applyFill="1" applyBorder="1" applyAlignment="1">
      <alignment vertical="center"/>
    </xf>
    <xf numFmtId="43" fontId="45" fillId="4" borderId="3" xfId="4" applyFont="1" applyFill="1" applyBorder="1" applyAlignment="1">
      <alignment vertical="center"/>
    </xf>
    <xf numFmtId="43" fontId="44" fillId="4" borderId="0" xfId="4" applyFont="1" applyFill="1" applyBorder="1" applyAlignment="1">
      <alignment vertical="center"/>
    </xf>
    <xf numFmtId="49" fontId="44" fillId="4" borderId="2" xfId="4" applyNumberFormat="1" applyFont="1" applyFill="1" applyBorder="1" applyAlignment="1">
      <alignment vertical="center"/>
    </xf>
    <xf numFmtId="14" fontId="44" fillId="4" borderId="2" xfId="3" applyNumberFormat="1" applyFont="1" applyFill="1" applyBorder="1" applyAlignment="1">
      <alignment horizontal="center" vertical="center" wrapText="1"/>
    </xf>
    <xf numFmtId="43" fontId="44" fillId="4" borderId="2" xfId="4" applyFont="1" applyFill="1" applyBorder="1" applyAlignment="1">
      <alignment vertical="center"/>
    </xf>
    <xf numFmtId="164" fontId="44" fillId="4" borderId="2" xfId="4" applyNumberFormat="1" applyFont="1" applyFill="1" applyBorder="1" applyAlignment="1">
      <alignment vertical="center"/>
    </xf>
    <xf numFmtId="43" fontId="45" fillId="4" borderId="2" xfId="4" applyFont="1" applyFill="1" applyBorder="1" applyAlignment="1">
      <alignment vertical="center"/>
    </xf>
    <xf numFmtId="43" fontId="44" fillId="4" borderId="2" xfId="4" applyFont="1" applyFill="1" applyBorder="1" applyAlignment="1">
      <alignment horizontal="center" vertical="center"/>
    </xf>
    <xf numFmtId="14" fontId="47" fillId="4" borderId="1" xfId="3" applyNumberFormat="1" applyFont="1" applyFill="1" applyBorder="1" applyAlignment="1">
      <alignment horizontal="center" vertical="center" wrapText="1"/>
    </xf>
    <xf numFmtId="164" fontId="48" fillId="4" borderId="1" xfId="4" applyNumberFormat="1" applyFont="1" applyFill="1" applyBorder="1" applyAlignment="1">
      <alignment vertical="center"/>
    </xf>
    <xf numFmtId="43" fontId="48" fillId="4" borderId="1" xfId="4" applyFont="1" applyFill="1" applyBorder="1" applyAlignment="1">
      <alignment vertical="center"/>
    </xf>
    <xf numFmtId="10" fontId="49" fillId="4" borderId="1" xfId="4" applyNumberFormat="1" applyFont="1" applyFill="1" applyBorder="1" applyAlignment="1">
      <alignment horizontal="center" vertical="center"/>
    </xf>
    <xf numFmtId="43" fontId="48" fillId="4" borderId="1" xfId="4" applyFont="1" applyFill="1" applyBorder="1" applyAlignment="1">
      <alignment horizontal="center" vertical="center"/>
    </xf>
    <xf numFmtId="43" fontId="46" fillId="4" borderId="0" xfId="4" applyFont="1" applyFill="1" applyAlignment="1">
      <alignment vertical="center"/>
    </xf>
    <xf numFmtId="0" fontId="45" fillId="4" borderId="3" xfId="4" applyNumberFormat="1" applyFont="1" applyFill="1" applyBorder="1" applyAlignment="1">
      <alignment horizontal="center" vertical="center"/>
    </xf>
    <xf numFmtId="49" fontId="45" fillId="4" borderId="3" xfId="4" applyNumberFormat="1" applyFont="1" applyFill="1" applyBorder="1" applyAlignment="1">
      <alignment vertical="center"/>
    </xf>
    <xf numFmtId="43" fontId="45" fillId="4" borderId="0" xfId="4" applyFont="1" applyFill="1" applyBorder="1" applyAlignment="1">
      <alignment vertical="center"/>
    </xf>
    <xf numFmtId="49" fontId="45" fillId="4" borderId="2" xfId="4" applyNumberFormat="1" applyFont="1" applyFill="1" applyBorder="1" applyAlignment="1">
      <alignment vertical="center"/>
    </xf>
    <xf numFmtId="14" fontId="45" fillId="4" borderId="2" xfId="3" applyNumberFormat="1" applyFont="1" applyFill="1" applyBorder="1" applyAlignment="1">
      <alignment horizontal="center" vertical="center" wrapText="1"/>
    </xf>
    <xf numFmtId="164" fontId="45" fillId="4" borderId="2" xfId="4" applyNumberFormat="1" applyFont="1" applyFill="1" applyBorder="1" applyAlignment="1">
      <alignment vertical="center"/>
    </xf>
    <xf numFmtId="10" fontId="45" fillId="4" borderId="2" xfId="4" applyNumberFormat="1" applyFont="1" applyFill="1" applyBorder="1" applyAlignment="1">
      <alignment horizontal="center" vertical="center"/>
    </xf>
    <xf numFmtId="43" fontId="45" fillId="4" borderId="2" xfId="4" applyFont="1" applyFill="1" applyBorder="1" applyAlignment="1">
      <alignment horizontal="center" vertical="center"/>
    </xf>
    <xf numFmtId="0" fontId="45" fillId="4" borderId="17" xfId="4" applyNumberFormat="1" applyFont="1" applyFill="1" applyBorder="1" applyAlignment="1">
      <alignment horizontal="center" vertical="center"/>
    </xf>
    <xf numFmtId="49" fontId="45" fillId="4" borderId="17" xfId="4" applyNumberFormat="1" applyFont="1" applyFill="1" applyBorder="1" applyAlignment="1">
      <alignment vertical="center"/>
    </xf>
    <xf numFmtId="14" fontId="45" fillId="4" borderId="17" xfId="3" applyNumberFormat="1" applyFont="1" applyFill="1" applyBorder="1" applyAlignment="1">
      <alignment horizontal="center" vertical="center" wrapText="1"/>
    </xf>
    <xf numFmtId="43" fontId="45" fillId="4" borderId="17" xfId="4" applyFont="1" applyFill="1" applyBorder="1" applyAlignment="1">
      <alignment vertical="center"/>
    </xf>
    <xf numFmtId="164" fontId="45" fillId="4" borderId="17" xfId="4" applyNumberFormat="1" applyFont="1" applyFill="1" applyBorder="1" applyAlignment="1">
      <alignment vertical="center"/>
    </xf>
    <xf numFmtId="14" fontId="44" fillId="4" borderId="17" xfId="3" applyNumberFormat="1" applyFont="1" applyFill="1" applyBorder="1" applyAlignment="1">
      <alignment horizontal="center" vertical="center" wrapText="1"/>
    </xf>
    <xf numFmtId="10" fontId="45" fillId="4" borderId="17" xfId="4" applyNumberFormat="1" applyFont="1" applyFill="1" applyBorder="1" applyAlignment="1">
      <alignment horizontal="center" vertical="center"/>
    </xf>
    <xf numFmtId="43" fontId="45" fillId="4" borderId="17" xfId="4" applyFont="1" applyFill="1" applyBorder="1" applyAlignment="1">
      <alignment horizontal="center" vertical="center"/>
    </xf>
    <xf numFmtId="10" fontId="44" fillId="4" borderId="2" xfId="4" applyNumberFormat="1" applyFont="1" applyFill="1" applyBorder="1" applyAlignment="1">
      <alignment horizontal="center" vertical="center"/>
    </xf>
    <xf numFmtId="14" fontId="44" fillId="4" borderId="18" xfId="3" applyNumberFormat="1" applyFont="1" applyFill="1" applyBorder="1" applyAlignment="1">
      <alignment horizontal="center" vertical="center" wrapText="1"/>
    </xf>
    <xf numFmtId="43" fontId="44" fillId="4" borderId="18" xfId="4" applyFont="1" applyFill="1" applyBorder="1" applyAlignment="1">
      <alignment vertical="center"/>
    </xf>
    <xf numFmtId="164" fontId="44" fillId="4" borderId="18" xfId="4" applyNumberFormat="1" applyFont="1" applyFill="1" applyBorder="1" applyAlignment="1">
      <alignment vertical="center"/>
    </xf>
    <xf numFmtId="14" fontId="48" fillId="4" borderId="1" xfId="4" applyNumberFormat="1" applyFont="1" applyFill="1" applyBorder="1" applyAlignment="1">
      <alignment horizontal="center" vertical="center"/>
    </xf>
    <xf numFmtId="43" fontId="49" fillId="4" borderId="1" xfId="4" applyFont="1" applyFill="1" applyBorder="1" applyAlignment="1">
      <alignment vertical="center"/>
    </xf>
    <xf numFmtId="43" fontId="49" fillId="4" borderId="1" xfId="4" applyFont="1" applyFill="1" applyBorder="1" applyAlignment="1">
      <alignment horizontal="center" vertical="center"/>
    </xf>
    <xf numFmtId="43" fontId="50" fillId="4" borderId="0" xfId="4" applyFont="1" applyFill="1" applyAlignment="1">
      <alignment vertical="center"/>
    </xf>
    <xf numFmtId="14" fontId="45" fillId="4" borderId="3" xfId="3" applyNumberFormat="1" applyFont="1" applyFill="1" applyBorder="1" applyAlignment="1">
      <alignment horizontal="center"/>
    </xf>
    <xf numFmtId="43" fontId="45" fillId="4" borderId="19" xfId="4" applyFont="1" applyFill="1" applyBorder="1" applyAlignment="1">
      <alignment horizontal="center" vertical="center"/>
    </xf>
    <xf numFmtId="14" fontId="45" fillId="4" borderId="18" xfId="3" applyNumberFormat="1" applyFont="1" applyFill="1" applyBorder="1" applyAlignment="1">
      <alignment horizontal="center" vertical="center" wrapText="1"/>
    </xf>
    <xf numFmtId="164" fontId="45" fillId="4" borderId="18" xfId="4" applyNumberFormat="1" applyFont="1" applyFill="1" applyBorder="1" applyAlignment="1">
      <alignment vertical="center"/>
    </xf>
    <xf numFmtId="43" fontId="45" fillId="4" borderId="18" xfId="4" applyFont="1" applyFill="1" applyBorder="1" applyAlignment="1">
      <alignment vertical="center"/>
    </xf>
    <xf numFmtId="0" fontId="51" fillId="4" borderId="0" xfId="3" applyFont="1" applyFill="1" applyAlignment="1">
      <alignment horizontal="center"/>
    </xf>
    <xf numFmtId="0" fontId="51" fillId="4" borderId="0" xfId="3" applyFont="1" applyFill="1"/>
    <xf numFmtId="14" fontId="51" fillId="4" borderId="0" xfId="3" applyNumberFormat="1" applyFont="1" applyFill="1" applyAlignment="1">
      <alignment horizontal="center"/>
    </xf>
    <xf numFmtId="164" fontId="51" fillId="4" borderId="0" xfId="4" applyNumberFormat="1" applyFont="1" applyFill="1"/>
    <xf numFmtId="43" fontId="51" fillId="4" borderId="0" xfId="3" applyNumberFormat="1" applyFont="1" applyFill="1"/>
    <xf numFmtId="14" fontId="52" fillId="4" borderId="0" xfId="4" applyNumberFormat="1" applyFont="1" applyFill="1" applyAlignment="1">
      <alignment horizontal="center"/>
    </xf>
    <xf numFmtId="164" fontId="52" fillId="4" borderId="0" xfId="4" applyNumberFormat="1" applyFont="1" applyFill="1"/>
    <xf numFmtId="43" fontId="51" fillId="4" borderId="0" xfId="4" applyFont="1" applyFill="1"/>
    <xf numFmtId="164" fontId="53" fillId="4" borderId="0" xfId="4" applyNumberFormat="1" applyFont="1" applyFill="1"/>
    <xf numFmtId="0" fontId="53" fillId="4" borderId="0" xfId="3" applyFont="1" applyFill="1"/>
    <xf numFmtId="0" fontId="53" fillId="4" borderId="0" xfId="3" applyFont="1" applyFill="1" applyAlignment="1">
      <alignment horizontal="center"/>
    </xf>
    <xf numFmtId="43" fontId="53" fillId="4" borderId="0" xfId="4" applyFont="1" applyFill="1"/>
    <xf numFmtId="164" fontId="31" fillId="4" borderId="1" xfId="4" applyNumberFormat="1" applyFont="1" applyFill="1" applyBorder="1" applyAlignment="1">
      <alignment horizontal="center" vertical="center" wrapText="1"/>
    </xf>
    <xf numFmtId="172" fontId="44" fillId="4" borderId="2" xfId="4" applyNumberFormat="1" applyFont="1" applyFill="1" applyBorder="1" applyAlignment="1">
      <alignment horizontal="center" vertical="center"/>
    </xf>
    <xf numFmtId="172" fontId="45" fillId="4" borderId="2" xfId="4" applyNumberFormat="1" applyFont="1" applyFill="1" applyBorder="1" applyAlignment="1">
      <alignment horizontal="center" vertical="center"/>
    </xf>
    <xf numFmtId="14" fontId="45" fillId="4" borderId="3" xfId="3" applyNumberFormat="1" applyFont="1" applyFill="1" applyBorder="1" applyAlignment="1">
      <alignment horizontal="center" vertical="center"/>
    </xf>
    <xf numFmtId="14" fontId="45" fillId="4" borderId="0" xfId="4" applyNumberFormat="1" applyFont="1" applyFill="1" applyBorder="1" applyAlignment="1">
      <alignment vertical="center"/>
    </xf>
    <xf numFmtId="14" fontId="44" fillId="4" borderId="0" xfId="4" applyNumberFormat="1" applyFont="1" applyFill="1" applyBorder="1" applyAlignment="1">
      <alignment vertical="center"/>
    </xf>
    <xf numFmtId="0" fontId="65" fillId="0" borderId="3" xfId="0" applyFont="1" applyBorder="1" applyAlignment="1">
      <alignment horizontal="center" vertical="center"/>
    </xf>
    <xf numFmtId="14" fontId="65" fillId="0" borderId="2" xfId="0" applyNumberFormat="1" applyFont="1" applyBorder="1" applyAlignment="1">
      <alignment horizontal="center" vertical="center"/>
    </xf>
    <xf numFmtId="0" fontId="65" fillId="0" borderId="2" xfId="0" applyFont="1" applyBorder="1" applyAlignment="1">
      <alignment horizontal="center" vertical="center"/>
    </xf>
    <xf numFmtId="0" fontId="65" fillId="0" borderId="2" xfId="0" applyFont="1" applyBorder="1" applyAlignment="1">
      <alignment vertical="center"/>
    </xf>
    <xf numFmtId="49" fontId="65" fillId="0" borderId="2" xfId="0" applyNumberFormat="1" applyFont="1" applyBorder="1" applyAlignment="1">
      <alignment horizontal="center" vertical="center"/>
    </xf>
    <xf numFmtId="43" fontId="65" fillId="0" borderId="2" xfId="1" applyFont="1" applyBorder="1" applyAlignment="1">
      <alignment vertical="center"/>
    </xf>
    <xf numFmtId="164" fontId="65" fillId="0" borderId="2" xfId="1" applyNumberFormat="1" applyFont="1" applyBorder="1" applyAlignment="1">
      <alignment vertical="center"/>
    </xf>
    <xf numFmtId="49" fontId="65" fillId="0" borderId="2" xfId="0" applyNumberFormat="1" applyFont="1" applyBorder="1" applyAlignment="1">
      <alignment vertical="center"/>
    </xf>
    <xf numFmtId="0" fontId="65" fillId="0" borderId="0" xfId="0" applyFont="1" applyAlignment="1">
      <alignment vertical="center"/>
    </xf>
    <xf numFmtId="43" fontId="44" fillId="4" borderId="0" xfId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6" fillId="0" borderId="0" xfId="0" applyFont="1" applyAlignment="1"/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0" fontId="67" fillId="0" borderId="23" xfId="37" applyFont="1" applyBorder="1" applyAlignment="1">
      <alignment vertical="center"/>
    </xf>
    <xf numFmtId="0" fontId="44" fillId="0" borderId="0" xfId="37" applyFont="1"/>
    <xf numFmtId="0" fontId="67" fillId="0" borderId="23" xfId="37" applyFont="1" applyBorder="1"/>
    <xf numFmtId="0" fontId="33" fillId="0" borderId="25" xfId="37" applyFont="1" applyBorder="1" applyAlignment="1">
      <alignment vertical="center"/>
    </xf>
    <xf numFmtId="0" fontId="33" fillId="0" borderId="24" xfId="37" applyFont="1" applyBorder="1" applyAlignment="1">
      <alignment vertical="center"/>
    </xf>
    <xf numFmtId="0" fontId="40" fillId="4" borderId="1" xfId="3" applyFont="1" applyFill="1" applyBorder="1" applyAlignment="1">
      <alignment horizontal="center" vertical="center"/>
    </xf>
    <xf numFmtId="164" fontId="40" fillId="4" borderId="1" xfId="4" applyNumberFormat="1" applyFont="1" applyFill="1" applyBorder="1" applyAlignment="1">
      <alignment horizontal="center" vertical="center"/>
    </xf>
    <xf numFmtId="14" fontId="35" fillId="4" borderId="0" xfId="4" applyNumberFormat="1" applyFont="1" applyFill="1" applyAlignment="1">
      <alignment horizontal="center" vertical="center"/>
    </xf>
    <xf numFmtId="14" fontId="44" fillId="4" borderId="15" xfId="3" applyNumberFormat="1" applyFont="1" applyFill="1" applyBorder="1" applyAlignment="1">
      <alignment horizontal="center"/>
    </xf>
    <xf numFmtId="14" fontId="31" fillId="4" borderId="1" xfId="4" applyNumberFormat="1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49" fontId="44" fillId="4" borderId="3" xfId="4" applyNumberFormat="1" applyFont="1" applyFill="1" applyBorder="1" applyAlignment="1">
      <alignment vertical="center"/>
    </xf>
    <xf numFmtId="0" fontId="44" fillId="4" borderId="17" xfId="4" applyNumberFormat="1" applyFont="1" applyFill="1" applyBorder="1" applyAlignment="1">
      <alignment horizontal="center" vertical="center"/>
    </xf>
    <xf numFmtId="49" fontId="44" fillId="4" borderId="17" xfId="4" applyNumberFormat="1" applyFont="1" applyFill="1" applyBorder="1" applyAlignment="1">
      <alignment vertical="center"/>
    </xf>
    <xf numFmtId="43" fontId="44" fillId="4" borderId="17" xfId="4" applyFont="1" applyFill="1" applyBorder="1" applyAlignment="1">
      <alignment vertical="center"/>
    </xf>
    <xf numFmtId="164" fontId="44" fillId="4" borderId="17" xfId="4" applyNumberFormat="1" applyFont="1" applyFill="1" applyBorder="1" applyAlignment="1">
      <alignment vertical="center"/>
    </xf>
    <xf numFmtId="10" fontId="44" fillId="4" borderId="17" xfId="4" applyNumberFormat="1" applyFont="1" applyFill="1" applyBorder="1" applyAlignment="1">
      <alignment horizontal="center" vertical="center"/>
    </xf>
    <xf numFmtId="43" fontId="44" fillId="4" borderId="17" xfId="4" applyFont="1" applyFill="1" applyBorder="1" applyAlignment="1">
      <alignment horizontal="center" vertical="center"/>
    </xf>
    <xf numFmtId="10" fontId="48" fillId="4" borderId="1" xfId="4" applyNumberFormat="1" applyFont="1" applyFill="1" applyBorder="1" applyAlignment="1">
      <alignment horizontal="center" vertical="center"/>
    </xf>
    <xf numFmtId="14" fontId="44" fillId="4" borderId="3" xfId="3" applyNumberFormat="1" applyFont="1" applyFill="1" applyBorder="1" applyAlignment="1">
      <alignment horizontal="center" vertical="center"/>
    </xf>
    <xf numFmtId="43" fontId="44" fillId="4" borderId="19" xfId="4" applyFont="1" applyFill="1" applyBorder="1" applyAlignment="1">
      <alignment horizontal="center" vertical="center"/>
    </xf>
    <xf numFmtId="14" fontId="51" fillId="4" borderId="0" xfId="4" applyNumberFormat="1" applyFont="1" applyFill="1" applyAlignment="1">
      <alignment horizontal="center"/>
    </xf>
    <xf numFmtId="0" fontId="68" fillId="4" borderId="0" xfId="3" applyFont="1" applyFill="1" applyAlignment="1">
      <alignment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164" fontId="2" fillId="0" borderId="0" xfId="1" applyNumberFormat="1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  <xf numFmtId="0" fontId="33" fillId="0" borderId="24" xfId="37" applyFont="1" applyBorder="1" applyAlignment="1">
      <alignment horizontal="left" vertical="center" wrapText="1"/>
    </xf>
    <xf numFmtId="164" fontId="40" fillId="4" borderId="1" xfId="4" applyNumberFormat="1" applyFont="1" applyFill="1" applyBorder="1" applyAlignment="1">
      <alignment horizontal="center" vertical="center"/>
    </xf>
    <xf numFmtId="0" fontId="40" fillId="4" borderId="1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/>
    </xf>
    <xf numFmtId="49" fontId="46" fillId="4" borderId="1" xfId="4" applyNumberFormat="1" applyFont="1" applyFill="1" applyBorder="1" applyAlignment="1">
      <alignment horizontal="center" vertical="center"/>
    </xf>
    <xf numFmtId="43" fontId="50" fillId="4" borderId="1" xfId="4" applyFont="1" applyFill="1" applyBorder="1" applyAlignment="1">
      <alignment horizontal="center" vertical="center"/>
    </xf>
    <xf numFmtId="14" fontId="31" fillId="4" borderId="1" xfId="3" applyNumberFormat="1" applyFont="1" applyFill="1" applyBorder="1" applyAlignment="1">
      <alignment horizontal="center" vertical="center"/>
    </xf>
    <xf numFmtId="164" fontId="31" fillId="4" borderId="1" xfId="4" applyNumberFormat="1" applyFont="1" applyFill="1" applyBorder="1" applyAlignment="1">
      <alignment horizontal="center" vertical="center"/>
    </xf>
    <xf numFmtId="164" fontId="42" fillId="4" borderId="1" xfId="4" applyNumberFormat="1" applyFont="1" applyFill="1" applyBorder="1" applyAlignment="1">
      <alignment horizontal="center" vertical="center"/>
    </xf>
    <xf numFmtId="0" fontId="42" fillId="4" borderId="1" xfId="3" applyFont="1" applyFill="1" applyBorder="1" applyAlignment="1">
      <alignment horizontal="center" vertical="center" wrapText="1"/>
    </xf>
    <xf numFmtId="164" fontId="41" fillId="4" borderId="1" xfId="4" applyNumberFormat="1" applyFont="1" applyFill="1" applyBorder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6"/>
  <sheetViews>
    <sheetView workbookViewId="0">
      <pane xSplit="6" ySplit="3" topLeftCell="G192" activePane="bottomRight" state="frozen"/>
      <selection pane="topRight" activeCell="G1" sqref="G1"/>
      <selection pane="bottomLeft" activeCell="A4" sqref="A4"/>
      <selection pane="bottomRight" activeCell="P209" sqref="P209"/>
    </sheetView>
  </sheetViews>
  <sheetFormatPr defaultRowHeight="18.75" customHeight="1"/>
  <cols>
    <col min="1" max="1" width="2.140625" style="55" customWidth="1"/>
    <col min="2" max="2" width="4.5703125" style="56" customWidth="1"/>
    <col min="3" max="3" width="7.85546875" style="56" customWidth="1"/>
    <col min="4" max="4" width="8.42578125" style="56" customWidth="1"/>
    <col min="5" max="5" width="7.5703125" style="56" customWidth="1"/>
    <col min="6" max="6" width="49.28515625" style="57" customWidth="1"/>
    <col min="7" max="7" width="18.42578125" style="57" customWidth="1"/>
    <col min="8" max="8" width="26.5703125" style="57" customWidth="1"/>
    <col min="9" max="9" width="13.85546875" style="56" customWidth="1"/>
    <col min="10" max="10" width="11" style="56" customWidth="1"/>
    <col min="11" max="12" width="8.42578125" style="56" customWidth="1"/>
    <col min="13" max="13" width="7" style="56" customWidth="1"/>
    <col min="14" max="14" width="21.140625" style="57" customWidth="1"/>
    <col min="15" max="15" width="12.28515625" style="57" customWidth="1"/>
    <col min="16" max="16" width="14" style="57" customWidth="1"/>
    <col min="17" max="17" width="9.140625" style="93"/>
    <col min="18" max="18" width="4.42578125" style="202" customWidth="1"/>
    <col min="19" max="16384" width="9.140625" style="57"/>
  </cols>
  <sheetData>
    <row r="1" spans="1:18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90">
        <v>17</v>
      </c>
    </row>
    <row r="2" spans="1:18" s="59" customFormat="1" ht="24" customHeight="1">
      <c r="A2" s="58"/>
      <c r="B2" s="239" t="s">
        <v>1</v>
      </c>
      <c r="C2" s="236" t="s">
        <v>10</v>
      </c>
      <c r="D2" s="237"/>
      <c r="E2" s="238"/>
      <c r="F2" s="236" t="s">
        <v>18</v>
      </c>
      <c r="G2" s="237"/>
      <c r="H2" s="237"/>
      <c r="I2" s="237"/>
      <c r="J2" s="237"/>
      <c r="K2" s="237"/>
      <c r="L2" s="237"/>
      <c r="M2" s="238"/>
      <c r="N2" s="231" t="s">
        <v>0</v>
      </c>
      <c r="O2" s="235" t="s">
        <v>19</v>
      </c>
      <c r="P2" s="235"/>
      <c r="Q2" s="233" t="s">
        <v>20</v>
      </c>
      <c r="R2" s="58"/>
    </row>
    <row r="3" spans="1:18" s="59" customFormat="1" ht="36.75" customHeight="1">
      <c r="A3" s="58"/>
      <c r="B3" s="232"/>
      <c r="C3" s="60" t="s">
        <v>12</v>
      </c>
      <c r="D3" s="60" t="s">
        <v>10</v>
      </c>
      <c r="E3" s="60" t="s">
        <v>11</v>
      </c>
      <c r="F3" s="60" t="s">
        <v>13</v>
      </c>
      <c r="G3" s="60" t="s">
        <v>28</v>
      </c>
      <c r="H3" s="60" t="s">
        <v>29</v>
      </c>
      <c r="I3" s="60" t="s">
        <v>32</v>
      </c>
      <c r="J3" s="60" t="s">
        <v>14</v>
      </c>
      <c r="K3" s="60" t="s">
        <v>15</v>
      </c>
      <c r="L3" s="60" t="s">
        <v>16</v>
      </c>
      <c r="M3" s="60" t="s">
        <v>17</v>
      </c>
      <c r="N3" s="232"/>
      <c r="O3" s="61" t="s">
        <v>26</v>
      </c>
      <c r="P3" s="61" t="s">
        <v>27</v>
      </c>
      <c r="Q3" s="234"/>
      <c r="R3" s="58"/>
    </row>
    <row r="4" spans="1:18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80</v>
      </c>
      <c r="D4" s="63">
        <v>42556</v>
      </c>
      <c r="E4" s="62" t="s">
        <v>21</v>
      </c>
      <c r="F4" s="64" t="s">
        <v>34</v>
      </c>
      <c r="G4" s="64" t="s">
        <v>30</v>
      </c>
      <c r="H4" s="64" t="s">
        <v>31</v>
      </c>
      <c r="I4" s="65" t="s">
        <v>33</v>
      </c>
      <c r="J4" s="66"/>
      <c r="K4" s="67"/>
      <c r="L4" s="65"/>
      <c r="M4" s="65"/>
      <c r="N4" s="64" t="s">
        <v>84</v>
      </c>
      <c r="O4" s="68"/>
      <c r="P4" s="69">
        <v>57018720</v>
      </c>
      <c r="Q4" s="91" t="s">
        <v>142</v>
      </c>
      <c r="R4" s="202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170" si="0">IF(C5&lt;&gt;"",ROW()-3,"")</f>
        <v>2</v>
      </c>
      <c r="C5" s="62" t="s">
        <v>80</v>
      </c>
      <c r="D5" s="63">
        <v>42556</v>
      </c>
      <c r="E5" s="62" t="s">
        <v>22</v>
      </c>
      <c r="F5" s="64" t="s">
        <v>85</v>
      </c>
      <c r="G5" s="71" t="s">
        <v>86</v>
      </c>
      <c r="H5" s="64" t="s">
        <v>87</v>
      </c>
      <c r="I5" s="62" t="s">
        <v>9</v>
      </c>
      <c r="J5" s="66"/>
      <c r="K5" s="67"/>
      <c r="L5" s="65"/>
      <c r="M5" s="65"/>
      <c r="N5" s="64" t="s">
        <v>88</v>
      </c>
      <c r="O5" s="68"/>
      <c r="P5" s="69">
        <v>32574576</v>
      </c>
      <c r="Q5" s="91" t="s">
        <v>142</v>
      </c>
      <c r="R5" s="202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80</v>
      </c>
      <c r="D6" s="63">
        <v>42556</v>
      </c>
      <c r="E6" s="62" t="s">
        <v>23</v>
      </c>
      <c r="F6" s="64" t="s">
        <v>89</v>
      </c>
      <c r="G6" s="64" t="s">
        <v>90</v>
      </c>
      <c r="H6" s="64" t="s">
        <v>91</v>
      </c>
      <c r="I6" s="65" t="s">
        <v>33</v>
      </c>
      <c r="J6" s="66"/>
      <c r="K6" s="67"/>
      <c r="L6" s="65"/>
      <c r="M6" s="65"/>
      <c r="N6" s="64" t="s">
        <v>92</v>
      </c>
      <c r="O6" s="68"/>
      <c r="P6" s="69">
        <v>80000000</v>
      </c>
      <c r="Q6" s="91" t="s">
        <v>142</v>
      </c>
      <c r="R6" s="202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80</v>
      </c>
      <c r="D7" s="63">
        <v>42556</v>
      </c>
      <c r="E7" s="62" t="s">
        <v>24</v>
      </c>
      <c r="F7" s="64" t="s">
        <v>93</v>
      </c>
      <c r="G7" s="71" t="s">
        <v>96</v>
      </c>
      <c r="H7" s="64" t="s">
        <v>94</v>
      </c>
      <c r="I7" s="62" t="s">
        <v>9</v>
      </c>
      <c r="J7" s="66"/>
      <c r="K7" s="67"/>
      <c r="L7" s="65"/>
      <c r="M7" s="65"/>
      <c r="N7" s="64" t="s">
        <v>95</v>
      </c>
      <c r="O7" s="68"/>
      <c r="P7" s="69">
        <v>50000000</v>
      </c>
      <c r="Q7" s="91" t="s">
        <v>142</v>
      </c>
      <c r="R7" s="202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80</v>
      </c>
      <c r="D8" s="63">
        <v>42556</v>
      </c>
      <c r="E8" s="62" t="s">
        <v>82</v>
      </c>
      <c r="F8" s="64" t="s">
        <v>97</v>
      </c>
      <c r="G8" s="64" t="s">
        <v>98</v>
      </c>
      <c r="H8" s="64" t="s">
        <v>99</v>
      </c>
      <c r="I8" s="62" t="s">
        <v>9</v>
      </c>
      <c r="J8" s="66"/>
      <c r="K8" s="67"/>
      <c r="L8" s="65"/>
      <c r="M8" s="65"/>
      <c r="N8" s="64" t="s">
        <v>100</v>
      </c>
      <c r="O8" s="68"/>
      <c r="P8" s="69">
        <v>50000000</v>
      </c>
      <c r="Q8" s="91" t="s">
        <v>142</v>
      </c>
      <c r="R8" s="202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80</v>
      </c>
      <c r="D9" s="63">
        <v>42556</v>
      </c>
      <c r="E9" s="62" t="s">
        <v>83</v>
      </c>
      <c r="F9" s="70" t="s">
        <v>4</v>
      </c>
      <c r="G9" s="70" t="s">
        <v>5</v>
      </c>
      <c r="H9" s="70" t="s">
        <v>6</v>
      </c>
      <c r="I9" s="62" t="s">
        <v>9</v>
      </c>
      <c r="J9" s="72"/>
      <c r="K9" s="63"/>
      <c r="L9" s="62"/>
      <c r="M9" s="62"/>
      <c r="N9" s="70" t="s">
        <v>81</v>
      </c>
      <c r="O9" s="73"/>
      <c r="P9" s="74">
        <v>28078550</v>
      </c>
      <c r="Q9" s="91" t="s">
        <v>142</v>
      </c>
      <c r="R9" s="202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/>
      </c>
      <c r="B10" s="94">
        <f t="shared" si="0"/>
        <v>7</v>
      </c>
      <c r="C10" s="94" t="s">
        <v>124</v>
      </c>
      <c r="D10" s="95">
        <v>42559</v>
      </c>
      <c r="E10" s="94" t="s">
        <v>21</v>
      </c>
      <c r="F10" s="96" t="s">
        <v>128</v>
      </c>
      <c r="G10" s="96" t="s">
        <v>127</v>
      </c>
      <c r="H10" s="96" t="s">
        <v>126</v>
      </c>
      <c r="I10" s="94" t="s">
        <v>9</v>
      </c>
      <c r="J10" s="97"/>
      <c r="K10" s="98"/>
      <c r="L10" s="99"/>
      <c r="M10" s="99"/>
      <c r="N10" s="96" t="s">
        <v>125</v>
      </c>
      <c r="O10" s="100">
        <v>39600</v>
      </c>
      <c r="P10" s="101"/>
      <c r="Q10" s="102" t="s">
        <v>142</v>
      </c>
      <c r="R10" s="202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/>
      </c>
    </row>
    <row r="11" spans="1:18" s="89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94">
        <f t="shared" si="0"/>
        <v>8</v>
      </c>
      <c r="C11" s="94" t="s">
        <v>124</v>
      </c>
      <c r="D11" s="95">
        <v>42562</v>
      </c>
      <c r="E11" s="94" t="s">
        <v>21</v>
      </c>
      <c r="F11" s="96" t="s">
        <v>129</v>
      </c>
      <c r="G11" s="96" t="s">
        <v>130</v>
      </c>
      <c r="H11" s="96" t="s">
        <v>126</v>
      </c>
      <c r="I11" s="94" t="s">
        <v>9</v>
      </c>
      <c r="J11" s="97"/>
      <c r="K11" s="98"/>
      <c r="L11" s="99"/>
      <c r="M11" s="99"/>
      <c r="N11" s="96" t="s">
        <v>131</v>
      </c>
      <c r="O11" s="100"/>
      <c r="P11" s="101">
        <v>100000000</v>
      </c>
      <c r="Q11" s="102" t="s">
        <v>143</v>
      </c>
      <c r="R11" s="202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/>
      </c>
      <c r="B12" s="94">
        <f t="shared" si="0"/>
        <v>9</v>
      </c>
      <c r="C12" s="94" t="s">
        <v>102</v>
      </c>
      <c r="D12" s="95">
        <v>42562</v>
      </c>
      <c r="E12" s="94" t="s">
        <v>22</v>
      </c>
      <c r="F12" s="96" t="s">
        <v>132</v>
      </c>
      <c r="G12" s="96" t="s">
        <v>133</v>
      </c>
      <c r="H12" s="96" t="s">
        <v>135</v>
      </c>
      <c r="I12" s="99" t="s">
        <v>134</v>
      </c>
      <c r="J12" s="97"/>
      <c r="K12" s="98"/>
      <c r="L12" s="99"/>
      <c r="M12" s="99"/>
      <c r="N12" s="96" t="s">
        <v>136</v>
      </c>
      <c r="O12" s="100"/>
      <c r="P12" s="101">
        <v>100000000</v>
      </c>
      <c r="Q12" s="102" t="s">
        <v>142</v>
      </c>
      <c r="R12" s="202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/>
      </c>
    </row>
    <row r="13" spans="1:18" s="89" customFormat="1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94">
        <f t="shared" si="0"/>
        <v>10</v>
      </c>
      <c r="C13" s="94" t="s">
        <v>124</v>
      </c>
      <c r="D13" s="95">
        <v>42562</v>
      </c>
      <c r="E13" s="94" t="s">
        <v>23</v>
      </c>
      <c r="F13" s="96" t="s">
        <v>139</v>
      </c>
      <c r="G13" s="96" t="s">
        <v>138</v>
      </c>
      <c r="H13" s="96" t="s">
        <v>137</v>
      </c>
      <c r="I13" s="94" t="s">
        <v>9</v>
      </c>
      <c r="J13" s="97"/>
      <c r="K13" s="98"/>
      <c r="L13" s="99"/>
      <c r="M13" s="99"/>
      <c r="N13" s="96" t="s">
        <v>140</v>
      </c>
      <c r="O13" s="100"/>
      <c r="P13" s="101">
        <v>77480000</v>
      </c>
      <c r="Q13" s="102" t="s">
        <v>143</v>
      </c>
      <c r="R13" s="202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94">
        <f t="shared" si="0"/>
        <v>11</v>
      </c>
      <c r="C14" s="94" t="s">
        <v>80</v>
      </c>
      <c r="D14" s="95">
        <v>42564</v>
      </c>
      <c r="E14" s="94" t="s">
        <v>21</v>
      </c>
      <c r="F14" s="96" t="s">
        <v>148</v>
      </c>
      <c r="G14" s="103" t="s">
        <v>145</v>
      </c>
      <c r="H14" s="96" t="s">
        <v>146</v>
      </c>
      <c r="I14" s="99" t="s">
        <v>9</v>
      </c>
      <c r="J14" s="97"/>
      <c r="K14" s="98"/>
      <c r="L14" s="99"/>
      <c r="M14" s="99"/>
      <c r="N14" s="96" t="s">
        <v>147</v>
      </c>
      <c r="O14" s="100"/>
      <c r="P14" s="101">
        <v>11852379</v>
      </c>
      <c r="Q14" s="102" t="s">
        <v>142</v>
      </c>
      <c r="R14" s="202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94">
        <f t="shared" si="0"/>
        <v>12</v>
      </c>
      <c r="C15" s="94" t="s">
        <v>80</v>
      </c>
      <c r="D15" s="95">
        <v>42566</v>
      </c>
      <c r="E15" s="94" t="s">
        <v>21</v>
      </c>
      <c r="F15" s="96" t="s">
        <v>149</v>
      </c>
      <c r="G15" s="96" t="s">
        <v>150</v>
      </c>
      <c r="H15" s="96" t="s">
        <v>151</v>
      </c>
      <c r="I15" s="99" t="s">
        <v>9</v>
      </c>
      <c r="J15" s="97"/>
      <c r="K15" s="98"/>
      <c r="L15" s="99"/>
      <c r="M15" s="99"/>
      <c r="N15" s="96" t="s">
        <v>152</v>
      </c>
      <c r="O15" s="100"/>
      <c r="P15" s="101">
        <v>50000000</v>
      </c>
      <c r="Q15" s="102" t="s">
        <v>142</v>
      </c>
      <c r="R15" s="202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94">
        <f t="shared" si="0"/>
        <v>13</v>
      </c>
      <c r="C16" s="94" t="s">
        <v>80</v>
      </c>
      <c r="D16" s="95">
        <v>42566</v>
      </c>
      <c r="E16" s="94" t="s">
        <v>22</v>
      </c>
      <c r="F16" s="96" t="s">
        <v>129</v>
      </c>
      <c r="G16" s="96" t="s">
        <v>130</v>
      </c>
      <c r="H16" s="96" t="s">
        <v>126</v>
      </c>
      <c r="I16" s="94" t="s">
        <v>9</v>
      </c>
      <c r="J16" s="97"/>
      <c r="K16" s="98"/>
      <c r="L16" s="99"/>
      <c r="M16" s="99"/>
      <c r="N16" s="96" t="s">
        <v>131</v>
      </c>
      <c r="O16" s="100"/>
      <c r="P16" s="101">
        <v>29000000</v>
      </c>
      <c r="Q16" s="102" t="s">
        <v>142</v>
      </c>
      <c r="R16" s="202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94">
        <f t="shared" si="0"/>
        <v>14</v>
      </c>
      <c r="C17" s="94" t="s">
        <v>102</v>
      </c>
      <c r="D17" s="95">
        <v>42566</v>
      </c>
      <c r="E17" s="94" t="s">
        <v>23</v>
      </c>
      <c r="F17" s="96" t="s">
        <v>153</v>
      </c>
      <c r="G17" s="96" t="s">
        <v>154</v>
      </c>
      <c r="H17" s="96" t="s">
        <v>155</v>
      </c>
      <c r="I17" s="99" t="s">
        <v>156</v>
      </c>
      <c r="J17" s="97"/>
      <c r="K17" s="98"/>
      <c r="L17" s="99"/>
      <c r="M17" s="99"/>
      <c r="N17" s="96" t="s">
        <v>157</v>
      </c>
      <c r="O17" s="100"/>
      <c r="P17" s="101">
        <v>28700000</v>
      </c>
      <c r="Q17" s="102" t="s">
        <v>142</v>
      </c>
      <c r="R17" s="202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62">
        <f t="shared" si="0"/>
        <v>15</v>
      </c>
      <c r="C18" s="62" t="s">
        <v>80</v>
      </c>
      <c r="D18" s="63">
        <v>42573</v>
      </c>
      <c r="E18" s="94" t="s">
        <v>21</v>
      </c>
      <c r="F18" s="96" t="s">
        <v>128</v>
      </c>
      <c r="G18" s="71" t="s">
        <v>158</v>
      </c>
      <c r="H18" s="64" t="s">
        <v>159</v>
      </c>
      <c r="I18" s="94" t="s">
        <v>9</v>
      </c>
      <c r="J18" s="66"/>
      <c r="K18" s="67"/>
      <c r="L18" s="65"/>
      <c r="M18" s="65"/>
      <c r="N18" s="64" t="s">
        <v>160</v>
      </c>
      <c r="O18" s="68"/>
      <c r="P18" s="69">
        <v>32000000</v>
      </c>
      <c r="Q18" s="102" t="s">
        <v>142</v>
      </c>
      <c r="R18" s="202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62">
        <f t="shared" si="0"/>
        <v>16</v>
      </c>
      <c r="C19" s="62" t="s">
        <v>80</v>
      </c>
      <c r="D19" s="63">
        <v>42573</v>
      </c>
      <c r="E19" s="94" t="s">
        <v>22</v>
      </c>
      <c r="F19" s="96" t="s">
        <v>129</v>
      </c>
      <c r="G19" s="96" t="s">
        <v>130</v>
      </c>
      <c r="H19" s="96" t="s">
        <v>126</v>
      </c>
      <c r="I19" s="94" t="s">
        <v>9</v>
      </c>
      <c r="J19" s="66"/>
      <c r="K19" s="67"/>
      <c r="L19" s="65"/>
      <c r="M19" s="65"/>
      <c r="N19" s="96" t="s">
        <v>131</v>
      </c>
      <c r="O19" s="68"/>
      <c r="P19" s="69">
        <v>160000000</v>
      </c>
      <c r="Q19" s="102" t="s">
        <v>142</v>
      </c>
      <c r="R19" s="202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62">
        <f t="shared" si="0"/>
        <v>17</v>
      </c>
      <c r="C20" s="62" t="s">
        <v>80</v>
      </c>
      <c r="D20" s="63">
        <v>42573</v>
      </c>
      <c r="E20" s="94" t="s">
        <v>23</v>
      </c>
      <c r="F20" s="96" t="s">
        <v>139</v>
      </c>
      <c r="G20" s="96" t="s">
        <v>138</v>
      </c>
      <c r="H20" s="96" t="s">
        <v>137</v>
      </c>
      <c r="I20" s="94" t="s">
        <v>9</v>
      </c>
      <c r="J20" s="97"/>
      <c r="K20" s="98"/>
      <c r="L20" s="99"/>
      <c r="M20" s="99"/>
      <c r="N20" s="96" t="s">
        <v>140</v>
      </c>
      <c r="O20" s="100"/>
      <c r="P20" s="101">
        <v>40000000</v>
      </c>
      <c r="Q20" s="102" t="s">
        <v>142</v>
      </c>
      <c r="R20" s="202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80</v>
      </c>
      <c r="D21" s="63">
        <v>42573</v>
      </c>
      <c r="E21" s="94" t="s">
        <v>24</v>
      </c>
      <c r="F21" s="64" t="s">
        <v>34</v>
      </c>
      <c r="G21" s="64" t="s">
        <v>30</v>
      </c>
      <c r="H21" s="64" t="s">
        <v>31</v>
      </c>
      <c r="I21" s="65" t="s">
        <v>33</v>
      </c>
      <c r="J21" s="66"/>
      <c r="K21" s="67"/>
      <c r="L21" s="65"/>
      <c r="M21" s="65"/>
      <c r="N21" s="64" t="s">
        <v>161</v>
      </c>
      <c r="O21" s="68"/>
      <c r="P21" s="69">
        <v>20769870</v>
      </c>
      <c r="Q21" s="102" t="s">
        <v>142</v>
      </c>
      <c r="R21" s="202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102</v>
      </c>
      <c r="D22" s="67">
        <v>42580</v>
      </c>
      <c r="E22" s="94" t="s">
        <v>21</v>
      </c>
      <c r="F22" s="64" t="s">
        <v>162</v>
      </c>
      <c r="G22" s="64" t="s">
        <v>198</v>
      </c>
      <c r="H22" s="64" t="s">
        <v>163</v>
      </c>
      <c r="I22" s="99" t="s">
        <v>156</v>
      </c>
      <c r="J22" s="66"/>
      <c r="K22" s="67"/>
      <c r="L22" s="65"/>
      <c r="M22" s="65"/>
      <c r="N22" s="104" t="s">
        <v>188</v>
      </c>
      <c r="O22" s="68"/>
      <c r="P22" s="69">
        <f>26959790+26175600</f>
        <v>53135390</v>
      </c>
      <c r="Q22" s="102" t="s">
        <v>189</v>
      </c>
      <c r="R22" s="202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124</v>
      </c>
      <c r="D23" s="67">
        <v>42583</v>
      </c>
      <c r="E23" s="94" t="s">
        <v>21</v>
      </c>
      <c r="F23" s="96" t="s">
        <v>128</v>
      </c>
      <c r="G23" s="71" t="s">
        <v>165</v>
      </c>
      <c r="H23" s="64" t="s">
        <v>164</v>
      </c>
      <c r="I23" s="94" t="s">
        <v>9</v>
      </c>
      <c r="J23" s="66"/>
      <c r="K23" s="67"/>
      <c r="L23" s="65"/>
      <c r="M23" s="65"/>
      <c r="N23" s="64" t="s">
        <v>166</v>
      </c>
      <c r="O23" s="68">
        <v>500</v>
      </c>
      <c r="P23" s="69"/>
      <c r="Q23" s="102" t="s">
        <v>190</v>
      </c>
      <c r="R23" s="202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80</v>
      </c>
      <c r="D24" s="67">
        <v>42586</v>
      </c>
      <c r="E24" s="94" t="s">
        <v>21</v>
      </c>
      <c r="F24" s="64" t="s">
        <v>34</v>
      </c>
      <c r="G24" s="64" t="s">
        <v>30</v>
      </c>
      <c r="H24" s="64" t="s">
        <v>31</v>
      </c>
      <c r="I24" s="65" t="s">
        <v>33</v>
      </c>
      <c r="J24" s="66"/>
      <c r="K24" s="67"/>
      <c r="L24" s="65"/>
      <c r="M24" s="65"/>
      <c r="N24" s="64" t="s">
        <v>168</v>
      </c>
      <c r="O24" s="68"/>
      <c r="P24" s="69">
        <v>23985830</v>
      </c>
      <c r="Q24" s="102" t="s">
        <v>190</v>
      </c>
      <c r="R24" s="202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80</v>
      </c>
      <c r="D25" s="67">
        <v>42586</v>
      </c>
      <c r="E25" s="94" t="s">
        <v>22</v>
      </c>
      <c r="F25" s="64" t="s">
        <v>169</v>
      </c>
      <c r="G25" s="71" t="s">
        <v>170</v>
      </c>
      <c r="H25" s="64" t="s">
        <v>171</v>
      </c>
      <c r="I25" s="94" t="s">
        <v>9</v>
      </c>
      <c r="J25" s="66"/>
      <c r="K25" s="67"/>
      <c r="L25" s="65"/>
      <c r="M25" s="65"/>
      <c r="N25" s="64" t="s">
        <v>172</v>
      </c>
      <c r="O25" s="68"/>
      <c r="P25" s="69">
        <v>64375104</v>
      </c>
      <c r="Q25" s="102" t="s">
        <v>190</v>
      </c>
      <c r="R25" s="202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ref="B26:B40" si="1">IF(C26&lt;&gt;"",ROW()-3,"")</f>
        <v>23</v>
      </c>
      <c r="C26" s="62" t="s">
        <v>80</v>
      </c>
      <c r="D26" s="67">
        <v>42586</v>
      </c>
      <c r="E26" s="94" t="s">
        <v>23</v>
      </c>
      <c r="F26" s="64" t="s">
        <v>173</v>
      </c>
      <c r="G26" s="71" t="s">
        <v>174</v>
      </c>
      <c r="H26" s="64" t="s">
        <v>175</v>
      </c>
      <c r="I26" s="94" t="s">
        <v>9</v>
      </c>
      <c r="J26" s="66"/>
      <c r="K26" s="67"/>
      <c r="L26" s="65"/>
      <c r="M26" s="65"/>
      <c r="N26" s="64" t="s">
        <v>179</v>
      </c>
      <c r="O26" s="68"/>
      <c r="P26" s="69">
        <v>420000</v>
      </c>
      <c r="Q26" s="102" t="s">
        <v>190</v>
      </c>
      <c r="R26" s="202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1"/>
        <v>24</v>
      </c>
      <c r="C27" s="62" t="s">
        <v>80</v>
      </c>
      <c r="D27" s="67">
        <v>42586</v>
      </c>
      <c r="E27" s="94" t="s">
        <v>24</v>
      </c>
      <c r="F27" s="64" t="s">
        <v>173</v>
      </c>
      <c r="G27" s="71" t="s">
        <v>176</v>
      </c>
      <c r="H27" s="64" t="s">
        <v>177</v>
      </c>
      <c r="I27" s="94" t="s">
        <v>9</v>
      </c>
      <c r="J27" s="66"/>
      <c r="K27" s="67"/>
      <c r="L27" s="65"/>
      <c r="M27" s="65"/>
      <c r="N27" s="64" t="s">
        <v>178</v>
      </c>
      <c r="O27" s="68"/>
      <c r="P27" s="69">
        <v>9215000</v>
      </c>
      <c r="Q27" s="102" t="s">
        <v>190</v>
      </c>
      <c r="R27" s="202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1"/>
        <v>25</v>
      </c>
      <c r="C28" s="62" t="s">
        <v>80</v>
      </c>
      <c r="D28" s="67">
        <v>42586</v>
      </c>
      <c r="E28" s="94" t="s">
        <v>82</v>
      </c>
      <c r="F28" s="96" t="s">
        <v>129</v>
      </c>
      <c r="G28" s="96" t="s">
        <v>130</v>
      </c>
      <c r="H28" s="96" t="s">
        <v>126</v>
      </c>
      <c r="I28" s="94" t="s">
        <v>9</v>
      </c>
      <c r="J28" s="66"/>
      <c r="K28" s="67"/>
      <c r="L28" s="65"/>
      <c r="M28" s="65"/>
      <c r="N28" s="96" t="s">
        <v>131</v>
      </c>
      <c r="O28" s="68"/>
      <c r="P28" s="69">
        <v>61000000</v>
      </c>
      <c r="Q28" s="102" t="s">
        <v>190</v>
      </c>
      <c r="R28" s="202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si="1"/>
        <v>26</v>
      </c>
      <c r="C29" s="62" t="s">
        <v>102</v>
      </c>
      <c r="D29" s="67">
        <v>42587</v>
      </c>
      <c r="E29" s="94" t="s">
        <v>83</v>
      </c>
      <c r="F29" s="64" t="s">
        <v>185</v>
      </c>
      <c r="G29" s="64" t="s">
        <v>191</v>
      </c>
      <c r="H29" s="64" t="s">
        <v>186</v>
      </c>
      <c r="I29" s="94" t="s">
        <v>9</v>
      </c>
      <c r="J29" s="66"/>
      <c r="K29" s="67"/>
      <c r="L29" s="65"/>
      <c r="M29" s="65"/>
      <c r="N29" s="64" t="s">
        <v>187</v>
      </c>
      <c r="O29" s="68"/>
      <c r="P29" s="69">
        <v>21000000</v>
      </c>
      <c r="Q29" s="102" t="s">
        <v>190</v>
      </c>
      <c r="R29" s="202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102</v>
      </c>
      <c r="D30" s="67">
        <v>42586</v>
      </c>
      <c r="E30" s="94" t="s">
        <v>167</v>
      </c>
      <c r="F30" s="64" t="s">
        <v>180</v>
      </c>
      <c r="G30" s="64" t="s">
        <v>181</v>
      </c>
      <c r="H30" s="64" t="s">
        <v>182</v>
      </c>
      <c r="I30" s="65" t="s">
        <v>183</v>
      </c>
      <c r="J30" s="66"/>
      <c r="K30" s="67"/>
      <c r="L30" s="65"/>
      <c r="M30" s="65"/>
      <c r="N30" s="64" t="s">
        <v>184</v>
      </c>
      <c r="O30" s="68"/>
      <c r="P30" s="69">
        <v>40920000</v>
      </c>
      <c r="Q30" s="102" t="s">
        <v>190</v>
      </c>
      <c r="R30" s="202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102</v>
      </c>
      <c r="D31" s="67">
        <v>42593</v>
      </c>
      <c r="E31" s="94" t="s">
        <v>21</v>
      </c>
      <c r="F31" s="64" t="s">
        <v>192</v>
      </c>
      <c r="G31" s="64" t="s">
        <v>193</v>
      </c>
      <c r="H31" s="64" t="s">
        <v>194</v>
      </c>
      <c r="I31" s="99" t="s">
        <v>156</v>
      </c>
      <c r="J31" s="66"/>
      <c r="K31" s="67"/>
      <c r="L31" s="65"/>
      <c r="M31" s="65"/>
      <c r="N31" s="64" t="s">
        <v>195</v>
      </c>
      <c r="O31" s="68"/>
      <c r="P31" s="69">
        <v>31034850</v>
      </c>
      <c r="Q31" s="102" t="s">
        <v>190</v>
      </c>
      <c r="R31" s="202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102</v>
      </c>
      <c r="D32" s="67">
        <v>42593</v>
      </c>
      <c r="E32" s="94" t="s">
        <v>22</v>
      </c>
      <c r="F32" s="64" t="s">
        <v>196</v>
      </c>
      <c r="G32" s="64" t="s">
        <v>197</v>
      </c>
      <c r="H32" s="64" t="s">
        <v>163</v>
      </c>
      <c r="I32" s="99" t="s">
        <v>156</v>
      </c>
      <c r="J32" s="66"/>
      <c r="K32" s="67"/>
      <c r="L32" s="65"/>
      <c r="M32" s="65"/>
      <c r="N32" s="64" t="s">
        <v>199</v>
      </c>
      <c r="O32" s="68"/>
      <c r="P32" s="69">
        <v>17500000</v>
      </c>
      <c r="Q32" s="102" t="s">
        <v>190</v>
      </c>
      <c r="R32" s="202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102</v>
      </c>
      <c r="D33" s="67">
        <v>42594</v>
      </c>
      <c r="E33" s="94" t="s">
        <v>21</v>
      </c>
      <c r="F33" s="64" t="s">
        <v>200</v>
      </c>
      <c r="G33" s="64" t="s">
        <v>201</v>
      </c>
      <c r="H33" s="64" t="s">
        <v>163</v>
      </c>
      <c r="I33" s="99" t="s">
        <v>156</v>
      </c>
      <c r="J33" s="66"/>
      <c r="K33" s="67"/>
      <c r="L33" s="65"/>
      <c r="M33" s="65"/>
      <c r="N33" s="64" t="s">
        <v>202</v>
      </c>
      <c r="O33" s="68"/>
      <c r="P33" s="69">
        <v>62466820</v>
      </c>
      <c r="Q33" s="102" t="s">
        <v>190</v>
      </c>
      <c r="R33" s="202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102</v>
      </c>
      <c r="D34" s="67">
        <v>42594</v>
      </c>
      <c r="E34" s="94" t="s">
        <v>22</v>
      </c>
      <c r="F34" s="96" t="s">
        <v>128</v>
      </c>
      <c r="G34" s="64" t="s">
        <v>206</v>
      </c>
      <c r="H34" s="64" t="s">
        <v>203</v>
      </c>
      <c r="I34" s="65" t="s">
        <v>9</v>
      </c>
      <c r="J34" s="66"/>
      <c r="K34" s="67"/>
      <c r="L34" s="65"/>
      <c r="M34" s="65"/>
      <c r="N34" s="64" t="s">
        <v>204</v>
      </c>
      <c r="O34" s="68"/>
      <c r="P34" s="69">
        <v>18000000</v>
      </c>
      <c r="Q34" s="102" t="s">
        <v>190</v>
      </c>
      <c r="R34" s="202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80</v>
      </c>
      <c r="D35" s="67">
        <v>42594</v>
      </c>
      <c r="E35" s="94" t="s">
        <v>23</v>
      </c>
      <c r="F35" s="64" t="s">
        <v>34</v>
      </c>
      <c r="G35" s="64" t="s">
        <v>30</v>
      </c>
      <c r="H35" s="64" t="s">
        <v>31</v>
      </c>
      <c r="I35" s="65" t="s">
        <v>33</v>
      </c>
      <c r="J35" s="66"/>
      <c r="K35" s="67"/>
      <c r="L35" s="65"/>
      <c r="M35" s="65"/>
      <c r="N35" s="64" t="s">
        <v>205</v>
      </c>
      <c r="O35" s="68"/>
      <c r="P35" s="69">
        <v>17432580</v>
      </c>
      <c r="Q35" s="102" t="s">
        <v>190</v>
      </c>
      <c r="R35" s="202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102</v>
      </c>
      <c r="D36" s="67">
        <v>42594</v>
      </c>
      <c r="E36" s="94" t="s">
        <v>24</v>
      </c>
      <c r="F36" s="64" t="s">
        <v>207</v>
      </c>
      <c r="G36" s="64" t="s">
        <v>208</v>
      </c>
      <c r="H36" s="64" t="s">
        <v>209</v>
      </c>
      <c r="I36" s="99" t="s">
        <v>156</v>
      </c>
      <c r="J36" s="66"/>
      <c r="K36" s="67"/>
      <c r="L36" s="65"/>
      <c r="M36" s="65"/>
      <c r="N36" s="64" t="s">
        <v>210</v>
      </c>
      <c r="O36" s="68"/>
      <c r="P36" s="69">
        <v>200000000</v>
      </c>
      <c r="Q36" s="102" t="s">
        <v>190</v>
      </c>
      <c r="R36" s="202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124</v>
      </c>
      <c r="D37" s="67">
        <v>42598</v>
      </c>
      <c r="E37" s="94" t="s">
        <v>21</v>
      </c>
      <c r="F37" s="96" t="s">
        <v>128</v>
      </c>
      <c r="G37" s="96" t="s">
        <v>127</v>
      </c>
      <c r="H37" s="96" t="s">
        <v>126</v>
      </c>
      <c r="I37" s="94" t="s">
        <v>9</v>
      </c>
      <c r="J37" s="97"/>
      <c r="K37" s="98"/>
      <c r="L37" s="99"/>
      <c r="M37" s="99"/>
      <c r="N37" s="96" t="s">
        <v>125</v>
      </c>
      <c r="O37" s="100">
        <v>1600</v>
      </c>
      <c r="P37" s="69"/>
      <c r="Q37" s="102" t="s">
        <v>190</v>
      </c>
      <c r="R37" s="202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141</v>
      </c>
      <c r="D38" s="67">
        <v>42600</v>
      </c>
      <c r="E38" s="94" t="s">
        <v>21</v>
      </c>
      <c r="F38" s="96" t="s">
        <v>128</v>
      </c>
      <c r="G38" s="64" t="s">
        <v>206</v>
      </c>
      <c r="H38" s="96" t="s">
        <v>203</v>
      </c>
      <c r="I38" s="94" t="s">
        <v>9</v>
      </c>
      <c r="J38" s="66"/>
      <c r="K38" s="67"/>
      <c r="L38" s="65"/>
      <c r="M38" s="65"/>
      <c r="N38" s="64" t="s">
        <v>160</v>
      </c>
      <c r="O38" s="68"/>
      <c r="P38" s="69">
        <v>500000000</v>
      </c>
      <c r="Q38" s="92" t="s">
        <v>189</v>
      </c>
      <c r="R38" s="202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141</v>
      </c>
      <c r="D39" s="67">
        <v>42600</v>
      </c>
      <c r="E39" s="94" t="s">
        <v>22</v>
      </c>
      <c r="F39" s="96" t="s">
        <v>129</v>
      </c>
      <c r="G39" s="96" t="s">
        <v>130</v>
      </c>
      <c r="H39" s="96" t="s">
        <v>126</v>
      </c>
      <c r="I39" s="94" t="s">
        <v>9</v>
      </c>
      <c r="J39" s="66"/>
      <c r="K39" s="67"/>
      <c r="L39" s="65"/>
      <c r="M39" s="65"/>
      <c r="N39" s="96" t="s">
        <v>131</v>
      </c>
      <c r="O39" s="68"/>
      <c r="P39" s="69">
        <v>20000000</v>
      </c>
      <c r="Q39" s="92" t="s">
        <v>189</v>
      </c>
      <c r="R39" s="202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80</v>
      </c>
      <c r="D40" s="67">
        <v>42600</v>
      </c>
      <c r="E40" s="94" t="s">
        <v>21</v>
      </c>
      <c r="F40" s="96" t="s">
        <v>149</v>
      </c>
      <c r="G40" s="96" t="s">
        <v>150</v>
      </c>
      <c r="H40" s="96" t="s">
        <v>151</v>
      </c>
      <c r="I40" s="99" t="s">
        <v>9</v>
      </c>
      <c r="J40" s="97"/>
      <c r="K40" s="98"/>
      <c r="L40" s="99"/>
      <c r="M40" s="99"/>
      <c r="N40" s="96" t="s">
        <v>152</v>
      </c>
      <c r="O40" s="100"/>
      <c r="P40" s="101">
        <v>59355400</v>
      </c>
      <c r="Q40" s="102" t="s">
        <v>190</v>
      </c>
      <c r="R40" s="202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0"/>
        <v>38</v>
      </c>
      <c r="C41" s="62" t="s">
        <v>80</v>
      </c>
      <c r="D41" s="67">
        <v>42600</v>
      </c>
      <c r="E41" s="94" t="s">
        <v>22</v>
      </c>
      <c r="F41" s="64" t="s">
        <v>93</v>
      </c>
      <c r="G41" s="71" t="s">
        <v>96</v>
      </c>
      <c r="H41" s="64" t="s">
        <v>94</v>
      </c>
      <c r="I41" s="62" t="s">
        <v>9</v>
      </c>
      <c r="J41" s="66"/>
      <c r="K41" s="67"/>
      <c r="L41" s="65"/>
      <c r="M41" s="65"/>
      <c r="N41" s="64" t="s">
        <v>95</v>
      </c>
      <c r="O41" s="68"/>
      <c r="P41" s="69">
        <v>50100000</v>
      </c>
      <c r="Q41" s="102" t="s">
        <v>190</v>
      </c>
      <c r="R41" s="202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0"/>
        <v>39</v>
      </c>
      <c r="C42" s="62" t="s">
        <v>80</v>
      </c>
      <c r="D42" s="67">
        <v>42600</v>
      </c>
      <c r="E42" s="94" t="s">
        <v>23</v>
      </c>
      <c r="F42" s="64" t="s">
        <v>97</v>
      </c>
      <c r="G42" s="64" t="s">
        <v>98</v>
      </c>
      <c r="H42" s="64" t="s">
        <v>99</v>
      </c>
      <c r="I42" s="62" t="s">
        <v>9</v>
      </c>
      <c r="J42" s="66"/>
      <c r="K42" s="67"/>
      <c r="L42" s="65"/>
      <c r="M42" s="65"/>
      <c r="N42" s="64" t="s">
        <v>100</v>
      </c>
      <c r="O42" s="68"/>
      <c r="P42" s="69">
        <v>50000000</v>
      </c>
      <c r="Q42" s="102" t="s">
        <v>190</v>
      </c>
      <c r="R42" s="202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0"/>
        <v>40</v>
      </c>
      <c r="C43" s="62" t="s">
        <v>80</v>
      </c>
      <c r="D43" s="67">
        <v>42600</v>
      </c>
      <c r="E43" s="94" t="s">
        <v>24</v>
      </c>
      <c r="F43" s="96" t="s">
        <v>211</v>
      </c>
      <c r="G43" s="64" t="s">
        <v>212</v>
      </c>
      <c r="H43" s="64" t="s">
        <v>213</v>
      </c>
      <c r="I43" s="62" t="s">
        <v>9</v>
      </c>
      <c r="J43" s="66"/>
      <c r="K43" s="67"/>
      <c r="L43" s="65"/>
      <c r="M43" s="65"/>
      <c r="N43" s="64" t="s">
        <v>214</v>
      </c>
      <c r="O43" s="68"/>
      <c r="P43" s="69">
        <v>6400000</v>
      </c>
      <c r="Q43" s="102" t="s">
        <v>190</v>
      </c>
      <c r="R43" s="202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80</v>
      </c>
      <c r="D44" s="67">
        <v>42600</v>
      </c>
      <c r="E44" s="94" t="s">
        <v>82</v>
      </c>
      <c r="F44" s="64" t="s">
        <v>34</v>
      </c>
      <c r="G44" s="64" t="s">
        <v>30</v>
      </c>
      <c r="H44" s="64" t="s">
        <v>31</v>
      </c>
      <c r="I44" s="65" t="s">
        <v>33</v>
      </c>
      <c r="J44" s="66"/>
      <c r="K44" s="67"/>
      <c r="L44" s="65"/>
      <c r="M44" s="65"/>
      <c r="N44" s="64" t="s">
        <v>215</v>
      </c>
      <c r="O44" s="68"/>
      <c r="P44" s="69">
        <v>32480910</v>
      </c>
      <c r="Q44" s="102" t="s">
        <v>190</v>
      </c>
      <c r="R44" s="202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80</v>
      </c>
      <c r="D45" s="67">
        <v>42600</v>
      </c>
      <c r="E45" s="94" t="s">
        <v>83</v>
      </c>
      <c r="F45" s="70" t="s">
        <v>4</v>
      </c>
      <c r="G45" s="70" t="s">
        <v>5</v>
      </c>
      <c r="H45" s="70" t="s">
        <v>6</v>
      </c>
      <c r="I45" s="62" t="s">
        <v>9</v>
      </c>
      <c r="J45" s="72"/>
      <c r="K45" s="63"/>
      <c r="L45" s="62"/>
      <c r="M45" s="62"/>
      <c r="N45" s="70" t="s">
        <v>216</v>
      </c>
      <c r="O45" s="68"/>
      <c r="P45" s="69">
        <v>17842328</v>
      </c>
      <c r="Q45" s="102" t="s">
        <v>190</v>
      </c>
      <c r="R45" s="202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102</v>
      </c>
      <c r="D46" s="67">
        <v>42600</v>
      </c>
      <c r="E46" s="94" t="s">
        <v>167</v>
      </c>
      <c r="F46" s="64" t="s">
        <v>218</v>
      </c>
      <c r="G46" s="64" t="s">
        <v>219</v>
      </c>
      <c r="H46" s="64" t="s">
        <v>220</v>
      </c>
      <c r="I46" s="62" t="s">
        <v>9</v>
      </c>
      <c r="J46" s="66"/>
      <c r="K46" s="67"/>
      <c r="L46" s="65"/>
      <c r="M46" s="65"/>
      <c r="N46" s="64" t="s">
        <v>221</v>
      </c>
      <c r="O46" s="68"/>
      <c r="P46" s="69">
        <v>9487000</v>
      </c>
      <c r="Q46" s="102" t="s">
        <v>190</v>
      </c>
      <c r="R46" s="202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102</v>
      </c>
      <c r="D47" s="67">
        <v>42600</v>
      </c>
      <c r="E47" s="94" t="s">
        <v>217</v>
      </c>
      <c r="F47" s="64" t="s">
        <v>222</v>
      </c>
      <c r="G47" s="64" t="s">
        <v>223</v>
      </c>
      <c r="H47" s="64" t="s">
        <v>224</v>
      </c>
      <c r="I47" s="99" t="s">
        <v>156</v>
      </c>
      <c r="J47" s="66"/>
      <c r="K47" s="67"/>
      <c r="L47" s="65"/>
      <c r="M47" s="65"/>
      <c r="N47" s="64" t="s">
        <v>225</v>
      </c>
      <c r="O47" s="68"/>
      <c r="P47" s="69">
        <v>8143872</v>
      </c>
      <c r="Q47" s="102" t="s">
        <v>190</v>
      </c>
      <c r="R47" s="202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80</v>
      </c>
      <c r="D48" s="67">
        <v>42600</v>
      </c>
      <c r="E48" s="94" t="s">
        <v>227</v>
      </c>
      <c r="F48" s="96" t="s">
        <v>129</v>
      </c>
      <c r="G48" s="96" t="s">
        <v>130</v>
      </c>
      <c r="H48" s="96" t="s">
        <v>126</v>
      </c>
      <c r="I48" s="94" t="s">
        <v>9</v>
      </c>
      <c r="J48" s="66"/>
      <c r="K48" s="67"/>
      <c r="L48" s="65"/>
      <c r="M48" s="65"/>
      <c r="N48" s="96" t="s">
        <v>131</v>
      </c>
      <c r="O48" s="68"/>
      <c r="P48" s="69">
        <v>30000000</v>
      </c>
      <c r="Q48" s="102" t="s">
        <v>190</v>
      </c>
      <c r="R48" s="202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102</v>
      </c>
      <c r="D49" s="67">
        <v>42600</v>
      </c>
      <c r="E49" s="94" t="s">
        <v>228</v>
      </c>
      <c r="F49" s="64" t="s">
        <v>162</v>
      </c>
      <c r="G49" s="64" t="s">
        <v>198</v>
      </c>
      <c r="H49" s="64" t="s">
        <v>163</v>
      </c>
      <c r="I49" s="99" t="s">
        <v>156</v>
      </c>
      <c r="J49" s="66"/>
      <c r="K49" s="67"/>
      <c r="L49" s="65"/>
      <c r="M49" s="65"/>
      <c r="N49" s="104" t="s">
        <v>226</v>
      </c>
      <c r="O49" s="68"/>
      <c r="P49" s="69">
        <v>30533800</v>
      </c>
      <c r="Q49" s="102" t="s">
        <v>190</v>
      </c>
      <c r="R49" s="202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124</v>
      </c>
      <c r="D50" s="67">
        <v>42606</v>
      </c>
      <c r="E50" s="94" t="s">
        <v>21</v>
      </c>
      <c r="F50" s="64" t="s">
        <v>229</v>
      </c>
      <c r="G50" s="64" t="s">
        <v>230</v>
      </c>
      <c r="H50" s="64" t="s">
        <v>213</v>
      </c>
      <c r="I50" s="62" t="s">
        <v>9</v>
      </c>
      <c r="J50" s="66"/>
      <c r="K50" s="67"/>
      <c r="L50" s="65"/>
      <c r="M50" s="65"/>
      <c r="N50" s="64" t="s">
        <v>231</v>
      </c>
      <c r="O50" s="68"/>
      <c r="P50" s="69">
        <v>28690200</v>
      </c>
      <c r="Q50" s="92" t="s">
        <v>189</v>
      </c>
      <c r="R50" s="202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80</v>
      </c>
      <c r="D51" s="67">
        <v>42611</v>
      </c>
      <c r="E51" s="94" t="s">
        <v>21</v>
      </c>
      <c r="F51" s="96" t="s">
        <v>128</v>
      </c>
      <c r="G51" s="96" t="s">
        <v>127</v>
      </c>
      <c r="H51" s="96" t="s">
        <v>126</v>
      </c>
      <c r="I51" s="94" t="s">
        <v>9</v>
      </c>
      <c r="J51" s="97"/>
      <c r="K51" s="98"/>
      <c r="L51" s="99"/>
      <c r="M51" s="99"/>
      <c r="N51" s="96" t="s">
        <v>125</v>
      </c>
      <c r="O51" s="100">
        <v>8600</v>
      </c>
      <c r="P51" s="69"/>
      <c r="Q51" s="102" t="s">
        <v>190</v>
      </c>
      <c r="R51" s="202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ref="B52:B57" si="2">IF(C52&lt;&gt;"",ROW()-3,"")</f>
        <v>49</v>
      </c>
      <c r="C52" s="62" t="s">
        <v>124</v>
      </c>
      <c r="D52" s="67">
        <v>42611</v>
      </c>
      <c r="E52" s="94" t="s">
        <v>22</v>
      </c>
      <c r="F52" s="96" t="s">
        <v>128</v>
      </c>
      <c r="G52" s="71" t="s">
        <v>158</v>
      </c>
      <c r="H52" s="64" t="s">
        <v>159</v>
      </c>
      <c r="I52" s="94" t="s">
        <v>9</v>
      </c>
      <c r="J52" s="66"/>
      <c r="K52" s="67"/>
      <c r="L52" s="65"/>
      <c r="M52" s="65"/>
      <c r="N52" s="64" t="s">
        <v>160</v>
      </c>
      <c r="O52" s="68"/>
      <c r="P52" s="69">
        <v>210000000</v>
      </c>
      <c r="Q52" s="102" t="s">
        <v>190</v>
      </c>
      <c r="R52" s="202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2"/>
        <v>50</v>
      </c>
      <c r="C53" s="62" t="s">
        <v>141</v>
      </c>
      <c r="D53" s="67">
        <v>42611</v>
      </c>
      <c r="E53" s="94" t="s">
        <v>23</v>
      </c>
      <c r="F53" s="96" t="s">
        <v>128</v>
      </c>
      <c r="G53" s="96" t="s">
        <v>296</v>
      </c>
      <c r="H53" s="96" t="s">
        <v>126</v>
      </c>
      <c r="I53" s="94" t="s">
        <v>9</v>
      </c>
      <c r="J53" s="66"/>
      <c r="K53" s="67"/>
      <c r="L53" s="65"/>
      <c r="M53" s="65"/>
      <c r="N53" s="64" t="s">
        <v>166</v>
      </c>
      <c r="O53" s="68">
        <v>6700</v>
      </c>
      <c r="P53" s="69"/>
      <c r="Q53" s="102" t="s">
        <v>190</v>
      </c>
      <c r="R53" s="202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2"/>
        <v>51</v>
      </c>
      <c r="C54" s="62" t="s">
        <v>124</v>
      </c>
      <c r="D54" s="67">
        <v>42613</v>
      </c>
      <c r="E54" s="94" t="s">
        <v>21</v>
      </c>
      <c r="F54" s="96" t="s">
        <v>128</v>
      </c>
      <c r="G54" s="64" t="s">
        <v>206</v>
      </c>
      <c r="H54" s="64" t="s">
        <v>203</v>
      </c>
      <c r="I54" s="65" t="s">
        <v>9</v>
      </c>
      <c r="J54" s="66"/>
      <c r="K54" s="67"/>
      <c r="L54" s="65"/>
      <c r="M54" s="65"/>
      <c r="N54" s="96" t="s">
        <v>125</v>
      </c>
      <c r="O54" s="68">
        <v>6700</v>
      </c>
      <c r="P54" s="69"/>
      <c r="Q54" s="102" t="s">
        <v>190</v>
      </c>
      <c r="R54" s="202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si="2"/>
        <v>52</v>
      </c>
      <c r="C55" s="62" t="s">
        <v>80</v>
      </c>
      <c r="D55" s="67">
        <v>42613</v>
      </c>
      <c r="E55" s="94" t="s">
        <v>22</v>
      </c>
      <c r="F55" s="96" t="s">
        <v>129</v>
      </c>
      <c r="G55" s="96" t="s">
        <v>130</v>
      </c>
      <c r="H55" s="96" t="s">
        <v>126</v>
      </c>
      <c r="I55" s="94" t="s">
        <v>9</v>
      </c>
      <c r="J55" s="66"/>
      <c r="K55" s="67"/>
      <c r="L55" s="65"/>
      <c r="M55" s="65"/>
      <c r="N55" s="96" t="s">
        <v>131</v>
      </c>
      <c r="O55" s="68"/>
      <c r="P55" s="69">
        <v>23000000</v>
      </c>
      <c r="Q55" s="102" t="s">
        <v>190</v>
      </c>
      <c r="R55" s="202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102</v>
      </c>
      <c r="D56" s="67">
        <v>42613</v>
      </c>
      <c r="E56" s="94" t="s">
        <v>24</v>
      </c>
      <c r="F56" s="64" t="s">
        <v>162</v>
      </c>
      <c r="G56" s="64" t="s">
        <v>312</v>
      </c>
      <c r="H56" s="64" t="s">
        <v>224</v>
      </c>
      <c r="I56" s="99" t="s">
        <v>156</v>
      </c>
      <c r="J56" s="66"/>
      <c r="K56" s="67"/>
      <c r="L56" s="65"/>
      <c r="M56" s="65"/>
      <c r="N56" s="104" t="s">
        <v>302</v>
      </c>
      <c r="O56" s="68"/>
      <c r="P56" s="69">
        <v>22821810</v>
      </c>
      <c r="Q56" s="102" t="s">
        <v>190</v>
      </c>
      <c r="R56" s="202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141</v>
      </c>
      <c r="D57" s="67">
        <v>42627</v>
      </c>
      <c r="E57" s="94" t="s">
        <v>21</v>
      </c>
      <c r="F57" s="64" t="s">
        <v>34</v>
      </c>
      <c r="G57" s="64" t="s">
        <v>30</v>
      </c>
      <c r="H57" s="64" t="s">
        <v>31</v>
      </c>
      <c r="I57" s="65" t="s">
        <v>33</v>
      </c>
      <c r="J57" s="66"/>
      <c r="K57" s="67"/>
      <c r="L57" s="65"/>
      <c r="M57" s="65"/>
      <c r="N57" s="64" t="s">
        <v>313</v>
      </c>
      <c r="O57" s="68"/>
      <c r="P57" s="69">
        <v>24068550</v>
      </c>
      <c r="Q57" s="92" t="s">
        <v>189</v>
      </c>
      <c r="R57" s="202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0"/>
        <v>55</v>
      </c>
      <c r="C58" s="62" t="s">
        <v>80</v>
      </c>
      <c r="D58" s="67">
        <v>42635</v>
      </c>
      <c r="E58" s="94" t="s">
        <v>21</v>
      </c>
      <c r="F58" s="64" t="s">
        <v>34</v>
      </c>
      <c r="G58" s="64" t="s">
        <v>30</v>
      </c>
      <c r="H58" s="64" t="s">
        <v>31</v>
      </c>
      <c r="I58" s="65" t="s">
        <v>33</v>
      </c>
      <c r="J58" s="66"/>
      <c r="K58" s="67"/>
      <c r="L58" s="65"/>
      <c r="M58" s="65"/>
      <c r="N58" s="64" t="s">
        <v>315</v>
      </c>
      <c r="O58" s="68"/>
      <c r="P58" s="69">
        <v>21641290</v>
      </c>
      <c r="Q58" s="92" t="s">
        <v>189</v>
      </c>
      <c r="R58" s="202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0"/>
        <v>56</v>
      </c>
      <c r="C59" s="62" t="s">
        <v>80</v>
      </c>
      <c r="D59" s="67">
        <v>42635</v>
      </c>
      <c r="E59" s="94" t="s">
        <v>22</v>
      </c>
      <c r="F59" s="64" t="s">
        <v>173</v>
      </c>
      <c r="G59" s="71" t="s">
        <v>317</v>
      </c>
      <c r="H59" s="64" t="s">
        <v>175</v>
      </c>
      <c r="I59" s="94" t="s">
        <v>9</v>
      </c>
      <c r="J59" s="66"/>
      <c r="K59" s="67"/>
      <c r="L59" s="65"/>
      <c r="M59" s="65"/>
      <c r="N59" s="64" t="s">
        <v>316</v>
      </c>
      <c r="O59" s="68"/>
      <c r="P59" s="69">
        <v>1663000</v>
      </c>
      <c r="Q59" s="92" t="s">
        <v>189</v>
      </c>
      <c r="R59" s="202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0"/>
        <v>57</v>
      </c>
      <c r="C60" s="62" t="s">
        <v>80</v>
      </c>
      <c r="D60" s="67">
        <v>42635</v>
      </c>
      <c r="E60" s="94" t="s">
        <v>23</v>
      </c>
      <c r="F60" s="64" t="s">
        <v>173</v>
      </c>
      <c r="G60" s="71" t="s">
        <v>176</v>
      </c>
      <c r="H60" s="64" t="s">
        <v>177</v>
      </c>
      <c r="I60" s="94" t="s">
        <v>9</v>
      </c>
      <c r="J60" s="66"/>
      <c r="K60" s="67"/>
      <c r="L60" s="65"/>
      <c r="M60" s="65"/>
      <c r="N60" s="64" t="s">
        <v>318</v>
      </c>
      <c r="O60" s="68"/>
      <c r="P60" s="69">
        <v>27700000</v>
      </c>
      <c r="Q60" s="92" t="s">
        <v>189</v>
      </c>
      <c r="R60" s="202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141</v>
      </c>
      <c r="D61" s="67">
        <v>42642</v>
      </c>
      <c r="E61" s="94" t="s">
        <v>21</v>
      </c>
      <c r="F61" s="96" t="s">
        <v>129</v>
      </c>
      <c r="G61" s="96" t="s">
        <v>130</v>
      </c>
      <c r="H61" s="96" t="s">
        <v>126</v>
      </c>
      <c r="I61" s="94" t="s">
        <v>9</v>
      </c>
      <c r="J61" s="66"/>
      <c r="K61" s="67"/>
      <c r="L61" s="65"/>
      <c r="M61" s="65"/>
      <c r="N61" s="96" t="s">
        <v>131</v>
      </c>
      <c r="O61" s="68"/>
      <c r="P61" s="69">
        <v>60000000</v>
      </c>
      <c r="Q61" s="92" t="s">
        <v>189</v>
      </c>
      <c r="R61" s="202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102</v>
      </c>
      <c r="D62" s="67">
        <v>42642</v>
      </c>
      <c r="E62" s="94" t="s">
        <v>22</v>
      </c>
      <c r="F62" s="64" t="s">
        <v>162</v>
      </c>
      <c r="G62" s="64" t="s">
        <v>198</v>
      </c>
      <c r="H62" s="64" t="s">
        <v>163</v>
      </c>
      <c r="I62" s="99" t="s">
        <v>156</v>
      </c>
      <c r="J62" s="66"/>
      <c r="K62" s="67"/>
      <c r="L62" s="65"/>
      <c r="M62" s="65"/>
      <c r="N62" s="104" t="s">
        <v>319</v>
      </c>
      <c r="O62" s="68"/>
      <c r="P62" s="69">
        <f>41688680+46359940</f>
        <v>88048620</v>
      </c>
      <c r="Q62" s="92" t="s">
        <v>189</v>
      </c>
      <c r="R62" s="202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124</v>
      </c>
      <c r="D63" s="67">
        <v>42646</v>
      </c>
      <c r="E63" s="94" t="s">
        <v>21</v>
      </c>
      <c r="F63" s="64" t="s">
        <v>321</v>
      </c>
      <c r="G63" s="64" t="s">
        <v>322</v>
      </c>
      <c r="H63" s="64" t="s">
        <v>323</v>
      </c>
      <c r="I63" s="65" t="s">
        <v>324</v>
      </c>
      <c r="J63" s="66"/>
      <c r="K63" s="67"/>
      <c r="L63" s="65"/>
      <c r="M63" s="65"/>
      <c r="N63" s="64" t="s">
        <v>320</v>
      </c>
      <c r="O63" s="68"/>
      <c r="P63" s="69">
        <v>100000000</v>
      </c>
      <c r="Q63" s="102" t="s">
        <v>190</v>
      </c>
      <c r="R63" s="202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80</v>
      </c>
      <c r="D64" s="67">
        <v>42647</v>
      </c>
      <c r="E64" s="94" t="s">
        <v>21</v>
      </c>
      <c r="F64" s="64" t="s">
        <v>34</v>
      </c>
      <c r="G64" s="64" t="s">
        <v>30</v>
      </c>
      <c r="H64" s="64" t="s">
        <v>31</v>
      </c>
      <c r="I64" s="65" t="s">
        <v>33</v>
      </c>
      <c r="J64" s="66"/>
      <c r="K64" s="67"/>
      <c r="L64" s="65"/>
      <c r="M64" s="65"/>
      <c r="N64" s="64" t="s">
        <v>325</v>
      </c>
      <c r="O64" s="68"/>
      <c r="P64" s="69">
        <v>24156880</v>
      </c>
      <c r="Q64" s="92" t="s">
        <v>189</v>
      </c>
      <c r="R64" s="202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141</v>
      </c>
      <c r="D65" s="67">
        <v>42648</v>
      </c>
      <c r="E65" s="94" t="s">
        <v>21</v>
      </c>
      <c r="F65" s="64" t="s">
        <v>326</v>
      </c>
      <c r="G65" s="64" t="s">
        <v>328</v>
      </c>
      <c r="H65" s="64" t="s">
        <v>327</v>
      </c>
      <c r="I65" s="94" t="s">
        <v>9</v>
      </c>
      <c r="J65" s="66"/>
      <c r="K65" s="67"/>
      <c r="L65" s="65"/>
      <c r="M65" s="65"/>
      <c r="N65" s="64" t="s">
        <v>329</v>
      </c>
      <c r="O65" s="68"/>
      <c r="P65" s="69">
        <v>873400</v>
      </c>
      <c r="Q65" s="92" t="s">
        <v>189</v>
      </c>
      <c r="R65" s="202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200" customFormat="1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192">
        <f t="shared" ref="B66:B75" si="3">IF(C66&lt;&gt;"",ROW()-3,"")</f>
        <v>63</v>
      </c>
      <c r="C66" s="192" t="s">
        <v>141</v>
      </c>
      <c r="D66" s="193">
        <v>42650</v>
      </c>
      <c r="E66" s="192" t="s">
        <v>21</v>
      </c>
      <c r="F66" s="195" t="s">
        <v>326</v>
      </c>
      <c r="G66" s="195" t="s">
        <v>328</v>
      </c>
      <c r="H66" s="195" t="s">
        <v>327</v>
      </c>
      <c r="I66" s="192" t="s">
        <v>9</v>
      </c>
      <c r="J66" s="196"/>
      <c r="K66" s="193"/>
      <c r="L66" s="194"/>
      <c r="M66" s="194"/>
      <c r="N66" s="195" t="s">
        <v>330</v>
      </c>
      <c r="O66" s="197"/>
      <c r="P66" s="198">
        <f>13197880-P65</f>
        <v>12324480</v>
      </c>
      <c r="Q66" s="199" t="s">
        <v>189</v>
      </c>
      <c r="R66" s="202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200" customFormat="1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192">
        <f t="shared" si="3"/>
        <v>64</v>
      </c>
      <c r="C67" s="192" t="s">
        <v>141</v>
      </c>
      <c r="D67" s="193">
        <v>42650</v>
      </c>
      <c r="E67" s="192" t="s">
        <v>22</v>
      </c>
      <c r="F67" s="195" t="s">
        <v>331</v>
      </c>
      <c r="G67" s="195" t="s">
        <v>332</v>
      </c>
      <c r="H67" s="195" t="s">
        <v>333</v>
      </c>
      <c r="I67" s="192" t="s">
        <v>9</v>
      </c>
      <c r="J67" s="196"/>
      <c r="K67" s="193"/>
      <c r="L67" s="194"/>
      <c r="M67" s="194"/>
      <c r="N67" s="195" t="s">
        <v>334</v>
      </c>
      <c r="O67" s="197"/>
      <c r="P67" s="198">
        <f>51480000+51700000</f>
        <v>103180000</v>
      </c>
      <c r="Q67" s="199" t="s">
        <v>189</v>
      </c>
      <c r="R67" s="202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3"/>
        <v>65</v>
      </c>
      <c r="C68" s="192" t="s">
        <v>141</v>
      </c>
      <c r="D68" s="193">
        <v>42650</v>
      </c>
      <c r="E68" s="192" t="s">
        <v>23</v>
      </c>
      <c r="F68" s="64" t="s">
        <v>321</v>
      </c>
      <c r="G68" s="64" t="s">
        <v>322</v>
      </c>
      <c r="H68" s="64" t="s">
        <v>323</v>
      </c>
      <c r="I68" s="65" t="s">
        <v>324</v>
      </c>
      <c r="J68" s="66"/>
      <c r="K68" s="67"/>
      <c r="L68" s="65"/>
      <c r="M68" s="65"/>
      <c r="N68" s="64" t="s">
        <v>320</v>
      </c>
      <c r="O68" s="68"/>
      <c r="P68" s="69">
        <v>98056855</v>
      </c>
      <c r="Q68" s="199" t="s">
        <v>189</v>
      </c>
      <c r="R68" s="202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62">
        <f t="shared" si="3"/>
        <v>66</v>
      </c>
      <c r="C69" s="192" t="s">
        <v>141</v>
      </c>
      <c r="D69" s="193">
        <v>42650</v>
      </c>
      <c r="E69" s="192" t="s">
        <v>24</v>
      </c>
      <c r="F69" s="195" t="s">
        <v>308</v>
      </c>
      <c r="G69" s="195" t="s">
        <v>309</v>
      </c>
      <c r="H69" s="195" t="s">
        <v>310</v>
      </c>
      <c r="I69" s="194" t="s">
        <v>9</v>
      </c>
      <c r="J69" s="196"/>
      <c r="K69" s="193"/>
      <c r="L69" s="194"/>
      <c r="M69" s="194"/>
      <c r="N69" s="195" t="s">
        <v>311</v>
      </c>
      <c r="O69" s="197"/>
      <c r="P69" s="198">
        <v>84566900</v>
      </c>
      <c r="Q69" s="199" t="s">
        <v>189</v>
      </c>
      <c r="R69" s="202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62">
        <f t="shared" ref="B70" si="4">IF(C70&lt;&gt;"",ROW()-3,"")</f>
        <v>67</v>
      </c>
      <c r="C70" s="192" t="s">
        <v>141</v>
      </c>
      <c r="D70" s="193">
        <v>42650</v>
      </c>
      <c r="E70" s="192" t="s">
        <v>82</v>
      </c>
      <c r="F70" s="96" t="s">
        <v>139</v>
      </c>
      <c r="G70" s="96" t="s">
        <v>138</v>
      </c>
      <c r="H70" s="96" t="s">
        <v>137</v>
      </c>
      <c r="I70" s="94" t="s">
        <v>9</v>
      </c>
      <c r="J70" s="97"/>
      <c r="K70" s="98"/>
      <c r="L70" s="99"/>
      <c r="M70" s="99"/>
      <c r="N70" s="96" t="s">
        <v>140</v>
      </c>
      <c r="O70" s="100"/>
      <c r="P70" s="101">
        <v>37480000</v>
      </c>
      <c r="Q70" s="199" t="s">
        <v>189</v>
      </c>
      <c r="R70" s="202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ref="B71" si="5">IF(C71&lt;&gt;"",ROW()-3,"")</f>
        <v>68</v>
      </c>
      <c r="C71" s="192" t="s">
        <v>141</v>
      </c>
      <c r="D71" s="193">
        <v>42650</v>
      </c>
      <c r="E71" s="192" t="s">
        <v>83</v>
      </c>
      <c r="F71" s="96" t="s">
        <v>128</v>
      </c>
      <c r="G71" s="96" t="s">
        <v>296</v>
      </c>
      <c r="H71" s="96" t="s">
        <v>126</v>
      </c>
      <c r="I71" s="94" t="s">
        <v>9</v>
      </c>
      <c r="J71" s="66"/>
      <c r="K71" s="67"/>
      <c r="L71" s="65"/>
      <c r="M71" s="65"/>
      <c r="N71" s="64" t="s">
        <v>166</v>
      </c>
      <c r="O71" s="68">
        <v>94600</v>
      </c>
      <c r="P71" s="101"/>
      <c r="Q71" s="199" t="s">
        <v>189</v>
      </c>
      <c r="R71" s="202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92" t="s">
        <v>102</v>
      </c>
      <c r="D72" s="193">
        <v>42650</v>
      </c>
      <c r="E72" s="192" t="s">
        <v>21</v>
      </c>
      <c r="F72" s="64" t="s">
        <v>185</v>
      </c>
      <c r="G72" s="64" t="s">
        <v>191</v>
      </c>
      <c r="H72" s="64" t="s">
        <v>186</v>
      </c>
      <c r="I72" s="94" t="s">
        <v>9</v>
      </c>
      <c r="J72" s="66"/>
      <c r="K72" s="67"/>
      <c r="L72" s="65"/>
      <c r="M72" s="65"/>
      <c r="N72" s="64" t="s">
        <v>187</v>
      </c>
      <c r="O72" s="68"/>
      <c r="P72" s="69">
        <v>23500000</v>
      </c>
      <c r="Q72" s="102" t="s">
        <v>190</v>
      </c>
      <c r="R72" s="202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si="3"/>
        <v>70</v>
      </c>
      <c r="C73" s="192" t="s">
        <v>102</v>
      </c>
      <c r="D73" s="193">
        <v>42650</v>
      </c>
      <c r="E73" s="192" t="s">
        <v>22</v>
      </c>
      <c r="F73" s="64" t="s">
        <v>207</v>
      </c>
      <c r="G73" s="64" t="s">
        <v>208</v>
      </c>
      <c r="H73" s="64" t="s">
        <v>209</v>
      </c>
      <c r="I73" s="99" t="s">
        <v>156</v>
      </c>
      <c r="J73" s="66"/>
      <c r="K73" s="67"/>
      <c r="L73" s="65"/>
      <c r="M73" s="65"/>
      <c r="N73" s="64" t="s">
        <v>210</v>
      </c>
      <c r="O73" s="68"/>
      <c r="P73" s="69">
        <v>200000000</v>
      </c>
      <c r="Q73" s="102" t="s">
        <v>190</v>
      </c>
      <c r="R73" s="202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si="3"/>
        <v>71</v>
      </c>
      <c r="C74" s="192" t="s">
        <v>102</v>
      </c>
      <c r="D74" s="193">
        <v>42650</v>
      </c>
      <c r="E74" s="192" t="s">
        <v>23</v>
      </c>
      <c r="F74" s="64" t="s">
        <v>335</v>
      </c>
      <c r="G74" s="64" t="s">
        <v>336</v>
      </c>
      <c r="H74" s="64" t="s">
        <v>337</v>
      </c>
      <c r="I74" s="94" t="s">
        <v>9</v>
      </c>
      <c r="J74" s="66"/>
      <c r="K74" s="67"/>
      <c r="L74" s="65"/>
      <c r="M74" s="65"/>
      <c r="N74" s="64" t="s">
        <v>140</v>
      </c>
      <c r="O74" s="68"/>
      <c r="P74" s="69">
        <v>200000000</v>
      </c>
      <c r="Q74" s="102" t="s">
        <v>190</v>
      </c>
      <c r="R74" s="202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92" t="s">
        <v>102</v>
      </c>
      <c r="D75" s="193">
        <v>42650</v>
      </c>
      <c r="E75" s="192" t="s">
        <v>24</v>
      </c>
      <c r="F75" s="64" t="s">
        <v>338</v>
      </c>
      <c r="G75" s="64" t="s">
        <v>339</v>
      </c>
      <c r="H75" s="64" t="s">
        <v>340</v>
      </c>
      <c r="I75" s="94" t="s">
        <v>9</v>
      </c>
      <c r="J75" s="66"/>
      <c r="K75" s="67"/>
      <c r="L75" s="65"/>
      <c r="M75" s="65"/>
      <c r="N75" s="64" t="s">
        <v>341</v>
      </c>
      <c r="O75" s="68"/>
      <c r="P75" s="69">
        <v>199632000</v>
      </c>
      <c r="Q75" s="102" t="s">
        <v>190</v>
      </c>
      <c r="R75" s="202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0"/>
        <v>73</v>
      </c>
      <c r="C76" s="192" t="s">
        <v>102</v>
      </c>
      <c r="D76" s="193">
        <v>42650</v>
      </c>
      <c r="E76" s="192" t="s">
        <v>82</v>
      </c>
      <c r="F76" s="64" t="s">
        <v>342</v>
      </c>
      <c r="G76" s="64" t="s">
        <v>343</v>
      </c>
      <c r="H76" s="64" t="s">
        <v>344</v>
      </c>
      <c r="I76" s="94" t="s">
        <v>9</v>
      </c>
      <c r="J76" s="66"/>
      <c r="K76" s="67"/>
      <c r="L76" s="65"/>
      <c r="M76" s="65"/>
      <c r="N76" s="64" t="s">
        <v>345</v>
      </c>
      <c r="O76" s="68"/>
      <c r="P76" s="69">
        <v>94100000</v>
      </c>
      <c r="Q76" s="102" t="s">
        <v>190</v>
      </c>
      <c r="R76" s="202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0"/>
        <v>74</v>
      </c>
      <c r="C77" s="192" t="s">
        <v>102</v>
      </c>
      <c r="D77" s="193">
        <v>42650</v>
      </c>
      <c r="E77" s="192" t="s">
        <v>83</v>
      </c>
      <c r="F77" s="64" t="s">
        <v>346</v>
      </c>
      <c r="G77" s="64" t="s">
        <v>347</v>
      </c>
      <c r="H77" s="64" t="s">
        <v>348</v>
      </c>
      <c r="I77" s="99" t="s">
        <v>156</v>
      </c>
      <c r="J77" s="66"/>
      <c r="K77" s="67"/>
      <c r="L77" s="65"/>
      <c r="M77" s="65"/>
      <c r="N77" s="64" t="s">
        <v>349</v>
      </c>
      <c r="O77" s="68"/>
      <c r="P77" s="69">
        <v>25850000</v>
      </c>
      <c r="Q77" s="102" t="s">
        <v>190</v>
      </c>
      <c r="R77" s="202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0"/>
        <v>75</v>
      </c>
      <c r="C78" s="192" t="s">
        <v>102</v>
      </c>
      <c r="D78" s="193">
        <v>42650</v>
      </c>
      <c r="E78" s="192" t="s">
        <v>167</v>
      </c>
      <c r="F78" s="64" t="s">
        <v>350</v>
      </c>
      <c r="G78" s="64" t="s">
        <v>351</v>
      </c>
      <c r="H78" s="64" t="s">
        <v>352</v>
      </c>
      <c r="I78" s="99" t="s">
        <v>156</v>
      </c>
      <c r="J78" s="66"/>
      <c r="K78" s="67"/>
      <c r="L78" s="65"/>
      <c r="M78" s="65"/>
      <c r="N78" s="64" t="s">
        <v>354</v>
      </c>
      <c r="O78" s="68"/>
      <c r="P78" s="69">
        <v>100000000</v>
      </c>
      <c r="Q78" s="102" t="s">
        <v>190</v>
      </c>
      <c r="R78" s="202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62" t="s">
        <v>124</v>
      </c>
      <c r="D79" s="193">
        <v>42651</v>
      </c>
      <c r="E79" s="192" t="s">
        <v>21</v>
      </c>
      <c r="F79" s="96" t="s">
        <v>128</v>
      </c>
      <c r="G79" s="96" t="s">
        <v>127</v>
      </c>
      <c r="H79" s="96" t="s">
        <v>126</v>
      </c>
      <c r="I79" s="94" t="s">
        <v>9</v>
      </c>
      <c r="J79" s="97"/>
      <c r="K79" s="98"/>
      <c r="L79" s="99"/>
      <c r="M79" s="99"/>
      <c r="N79" s="96" t="s">
        <v>125</v>
      </c>
      <c r="O79" s="100">
        <v>94500</v>
      </c>
      <c r="P79" s="69"/>
      <c r="Q79" s="199" t="s">
        <v>189</v>
      </c>
      <c r="R79" s="202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ref="B80:B83" si="6">IF(C80&lt;&gt;"",ROW()-3,"")</f>
        <v>77</v>
      </c>
      <c r="C80" s="62" t="s">
        <v>102</v>
      </c>
      <c r="D80" s="67">
        <v>42654</v>
      </c>
      <c r="E80" s="192" t="s">
        <v>21</v>
      </c>
      <c r="F80" s="64" t="s">
        <v>346</v>
      </c>
      <c r="G80" s="64" t="s">
        <v>347</v>
      </c>
      <c r="H80" s="64" t="s">
        <v>348</v>
      </c>
      <c r="I80" s="99" t="s">
        <v>156</v>
      </c>
      <c r="J80" s="66"/>
      <c r="K80" s="67"/>
      <c r="L80" s="65"/>
      <c r="M80" s="65"/>
      <c r="N80" s="64" t="s">
        <v>349</v>
      </c>
      <c r="O80" s="68"/>
      <c r="P80" s="69">
        <v>49232000</v>
      </c>
      <c r="Q80" s="102" t="s">
        <v>190</v>
      </c>
      <c r="R80" s="202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6"/>
        <v>78</v>
      </c>
      <c r="C81" s="62" t="s">
        <v>141</v>
      </c>
      <c r="D81" s="67">
        <v>42653</v>
      </c>
      <c r="E81" s="192" t="s">
        <v>21</v>
      </c>
      <c r="F81" s="64" t="s">
        <v>34</v>
      </c>
      <c r="G81" s="64" t="s">
        <v>30</v>
      </c>
      <c r="H81" s="64" t="s">
        <v>31</v>
      </c>
      <c r="I81" s="65" t="s">
        <v>33</v>
      </c>
      <c r="J81" s="66"/>
      <c r="K81" s="67"/>
      <c r="L81" s="65"/>
      <c r="M81" s="65"/>
      <c r="N81" s="64" t="s">
        <v>353</v>
      </c>
      <c r="O81" s="68"/>
      <c r="P81" s="69">
        <v>21023640</v>
      </c>
      <c r="Q81" s="199" t="s">
        <v>189</v>
      </c>
      <c r="R81" s="202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6"/>
        <v>79</v>
      </c>
      <c r="C82" s="62" t="s">
        <v>141</v>
      </c>
      <c r="D82" s="67">
        <v>42662</v>
      </c>
      <c r="E82" s="192" t="s">
        <v>21</v>
      </c>
      <c r="F82" s="70" t="s">
        <v>4</v>
      </c>
      <c r="G82" s="70" t="s">
        <v>5</v>
      </c>
      <c r="H82" s="70" t="s">
        <v>6</v>
      </c>
      <c r="I82" s="62" t="s">
        <v>9</v>
      </c>
      <c r="J82" s="72"/>
      <c r="K82" s="63"/>
      <c r="L82" s="62"/>
      <c r="M82" s="62"/>
      <c r="N82" s="70" t="s">
        <v>355</v>
      </c>
      <c r="O82" s="68"/>
      <c r="P82" s="69">
        <v>16302356</v>
      </c>
      <c r="Q82" s="199" t="s">
        <v>189</v>
      </c>
      <c r="R82" s="202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si="6"/>
        <v>80</v>
      </c>
      <c r="C83" s="62" t="s">
        <v>141</v>
      </c>
      <c r="D83" s="67">
        <v>42662</v>
      </c>
      <c r="E83" s="192" t="s">
        <v>22</v>
      </c>
      <c r="F83" s="64" t="s">
        <v>34</v>
      </c>
      <c r="G83" s="64" t="s">
        <v>30</v>
      </c>
      <c r="H83" s="64" t="s">
        <v>31</v>
      </c>
      <c r="I83" s="65" t="s">
        <v>33</v>
      </c>
      <c r="J83" s="66"/>
      <c r="K83" s="67"/>
      <c r="L83" s="65"/>
      <c r="M83" s="65"/>
      <c r="N83" s="64" t="s">
        <v>356</v>
      </c>
      <c r="O83" s="68"/>
      <c r="P83" s="69">
        <v>20797260</v>
      </c>
      <c r="Q83" s="199" t="s">
        <v>189</v>
      </c>
      <c r="R83" s="202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0"/>
        <v>81</v>
      </c>
      <c r="C84" s="62" t="s">
        <v>141</v>
      </c>
      <c r="D84" s="67">
        <v>42662</v>
      </c>
      <c r="E84" s="192" t="s">
        <v>23</v>
      </c>
      <c r="F84" s="64" t="s">
        <v>169</v>
      </c>
      <c r="G84" s="71" t="s">
        <v>170</v>
      </c>
      <c r="H84" s="64" t="s">
        <v>171</v>
      </c>
      <c r="I84" s="94" t="s">
        <v>9</v>
      </c>
      <c r="J84" s="66"/>
      <c r="K84" s="67"/>
      <c r="L84" s="65"/>
      <c r="M84" s="65"/>
      <c r="N84" s="64" t="s">
        <v>172</v>
      </c>
      <c r="O84" s="68"/>
      <c r="P84" s="69">
        <v>100000000</v>
      </c>
      <c r="Q84" s="199" t="s">
        <v>189</v>
      </c>
      <c r="R84" s="202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0"/>
        <v>82</v>
      </c>
      <c r="C85" s="62" t="s">
        <v>141</v>
      </c>
      <c r="D85" s="67">
        <v>42662</v>
      </c>
      <c r="E85" s="192" t="s">
        <v>24</v>
      </c>
      <c r="F85" s="96" t="s">
        <v>129</v>
      </c>
      <c r="G85" s="96" t="s">
        <v>130</v>
      </c>
      <c r="H85" s="96" t="s">
        <v>126</v>
      </c>
      <c r="I85" s="94" t="s">
        <v>9</v>
      </c>
      <c r="J85" s="66"/>
      <c r="K85" s="67"/>
      <c r="L85" s="65"/>
      <c r="M85" s="65"/>
      <c r="N85" s="96" t="s">
        <v>131</v>
      </c>
      <c r="O85" s="68"/>
      <c r="P85" s="69">
        <v>42930000</v>
      </c>
      <c r="Q85" s="199" t="s">
        <v>189</v>
      </c>
      <c r="R85" s="202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0"/>
        <v>83</v>
      </c>
      <c r="C86" s="62" t="s">
        <v>102</v>
      </c>
      <c r="D86" s="67">
        <v>42662</v>
      </c>
      <c r="E86" s="192" t="s">
        <v>21</v>
      </c>
      <c r="F86" s="64" t="s">
        <v>357</v>
      </c>
      <c r="G86" s="64" t="s">
        <v>358</v>
      </c>
      <c r="H86" s="64" t="s">
        <v>360</v>
      </c>
      <c r="I86" s="94" t="s">
        <v>9</v>
      </c>
      <c r="J86" s="66"/>
      <c r="K86" s="67"/>
      <c r="L86" s="65"/>
      <c r="M86" s="65"/>
      <c r="N86" s="64" t="s">
        <v>359</v>
      </c>
      <c r="O86" s="68"/>
      <c r="P86" s="69">
        <v>42930000</v>
      </c>
      <c r="Q86" s="199" t="s">
        <v>189</v>
      </c>
      <c r="R86" s="202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124</v>
      </c>
      <c r="D87" s="67">
        <v>42667</v>
      </c>
      <c r="E87" s="192" t="s">
        <v>21</v>
      </c>
      <c r="F87" s="96" t="s">
        <v>128</v>
      </c>
      <c r="G87" s="96" t="s">
        <v>127</v>
      </c>
      <c r="H87" s="96" t="s">
        <v>126</v>
      </c>
      <c r="I87" s="94" t="s">
        <v>9</v>
      </c>
      <c r="J87" s="97"/>
      <c r="K87" s="98"/>
      <c r="L87" s="99"/>
      <c r="M87" s="99"/>
      <c r="N87" s="96" t="s">
        <v>125</v>
      </c>
      <c r="O87" s="100">
        <v>2300</v>
      </c>
      <c r="P87" s="69"/>
      <c r="Q87" s="199" t="s">
        <v>189</v>
      </c>
      <c r="R87" s="202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124</v>
      </c>
      <c r="D88" s="67">
        <v>42667</v>
      </c>
      <c r="E88" s="192" t="s">
        <v>22</v>
      </c>
      <c r="F88" s="96" t="s">
        <v>211</v>
      </c>
      <c r="G88" s="64" t="s">
        <v>212</v>
      </c>
      <c r="H88" s="64" t="s">
        <v>213</v>
      </c>
      <c r="I88" s="62" t="s">
        <v>9</v>
      </c>
      <c r="J88" s="66"/>
      <c r="K88" s="67"/>
      <c r="L88" s="65"/>
      <c r="M88" s="65"/>
      <c r="N88" s="64" t="s">
        <v>214</v>
      </c>
      <c r="O88" s="68"/>
      <c r="P88" s="69">
        <v>19200000</v>
      </c>
      <c r="Q88" s="199" t="s">
        <v>189</v>
      </c>
      <c r="R88" s="202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124</v>
      </c>
      <c r="D89" s="67">
        <v>42667</v>
      </c>
      <c r="E89" s="192" t="s">
        <v>23</v>
      </c>
      <c r="F89" s="64" t="s">
        <v>361</v>
      </c>
      <c r="G89" s="64" t="s">
        <v>362</v>
      </c>
      <c r="H89" s="64" t="s">
        <v>363</v>
      </c>
      <c r="I89" s="62" t="s">
        <v>9</v>
      </c>
      <c r="J89" s="66"/>
      <c r="K89" s="67"/>
      <c r="L89" s="65"/>
      <c r="M89" s="65"/>
      <c r="N89" s="64" t="s">
        <v>364</v>
      </c>
      <c r="O89" s="68"/>
      <c r="P89" s="69">
        <v>10803694</v>
      </c>
      <c r="Q89" s="199" t="s">
        <v>189</v>
      </c>
      <c r="R89" s="202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80</v>
      </c>
      <c r="D90" s="67">
        <v>42669</v>
      </c>
      <c r="E90" s="192" t="s">
        <v>21</v>
      </c>
      <c r="F90" s="96" t="s">
        <v>128</v>
      </c>
      <c r="G90" s="96" t="s">
        <v>127</v>
      </c>
      <c r="H90" s="96" t="s">
        <v>126</v>
      </c>
      <c r="I90" s="94" t="s">
        <v>9</v>
      </c>
      <c r="J90" s="97"/>
      <c r="K90" s="98"/>
      <c r="L90" s="65"/>
      <c r="M90" s="65"/>
      <c r="N90" s="64" t="s">
        <v>160</v>
      </c>
      <c r="O90" s="68"/>
      <c r="P90" s="69">
        <v>9000000</v>
      </c>
      <c r="Q90" s="199" t="s">
        <v>189</v>
      </c>
      <c r="R90" s="202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124</v>
      </c>
      <c r="D91" s="67">
        <v>42669</v>
      </c>
      <c r="E91" s="192" t="s">
        <v>22</v>
      </c>
      <c r="F91" s="96" t="s">
        <v>129</v>
      </c>
      <c r="G91" s="96" t="s">
        <v>130</v>
      </c>
      <c r="H91" s="96" t="s">
        <v>126</v>
      </c>
      <c r="I91" s="94" t="s">
        <v>9</v>
      </c>
      <c r="J91" s="66"/>
      <c r="K91" s="67"/>
      <c r="L91" s="65"/>
      <c r="M91" s="65"/>
      <c r="N91" s="96" t="s">
        <v>131</v>
      </c>
      <c r="O91" s="68"/>
      <c r="P91" s="69">
        <v>25000000</v>
      </c>
      <c r="Q91" s="199" t="s">
        <v>189</v>
      </c>
      <c r="R91" s="202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102</v>
      </c>
      <c r="D92" s="67">
        <v>42675</v>
      </c>
      <c r="E92" s="192" t="s">
        <v>21</v>
      </c>
      <c r="F92" s="64" t="s">
        <v>162</v>
      </c>
      <c r="G92" s="64" t="s">
        <v>198</v>
      </c>
      <c r="H92" s="64" t="s">
        <v>163</v>
      </c>
      <c r="I92" s="99" t="s">
        <v>156</v>
      </c>
      <c r="J92" s="66"/>
      <c r="K92" s="67"/>
      <c r="L92" s="65"/>
      <c r="M92" s="65"/>
      <c r="N92" s="104" t="s">
        <v>366</v>
      </c>
      <c r="O92" s="68"/>
      <c r="P92" s="69">
        <f>42659320+37594590</f>
        <v>80253910</v>
      </c>
      <c r="Q92" s="199" t="s">
        <v>189</v>
      </c>
      <c r="R92" s="202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141</v>
      </c>
      <c r="D93" s="67">
        <v>42675</v>
      </c>
      <c r="E93" s="192" t="s">
        <v>22</v>
      </c>
      <c r="F93" s="64" t="s">
        <v>34</v>
      </c>
      <c r="G93" s="64" t="s">
        <v>30</v>
      </c>
      <c r="H93" s="64" t="s">
        <v>31</v>
      </c>
      <c r="I93" s="65" t="s">
        <v>33</v>
      </c>
      <c r="J93" s="66"/>
      <c r="K93" s="67"/>
      <c r="L93" s="65"/>
      <c r="M93" s="65"/>
      <c r="N93" s="64" t="s">
        <v>365</v>
      </c>
      <c r="O93" s="68"/>
      <c r="P93" s="69">
        <v>24338820</v>
      </c>
      <c r="Q93" s="199" t="s">
        <v>189</v>
      </c>
      <c r="R93" s="202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141</v>
      </c>
      <c r="D94" s="67">
        <v>42675</v>
      </c>
      <c r="E94" s="192" t="s">
        <v>23</v>
      </c>
      <c r="F94" s="96" t="s">
        <v>128</v>
      </c>
      <c r="G94" s="96" t="s">
        <v>367</v>
      </c>
      <c r="H94" s="96" t="s">
        <v>203</v>
      </c>
      <c r="I94" s="94" t="s">
        <v>9</v>
      </c>
      <c r="J94" s="66"/>
      <c r="K94" s="67"/>
      <c r="L94" s="65"/>
      <c r="M94" s="65"/>
      <c r="N94" s="64" t="s">
        <v>166</v>
      </c>
      <c r="O94" s="68">
        <v>87500</v>
      </c>
      <c r="P94" s="69"/>
      <c r="Q94" s="199" t="s">
        <v>189</v>
      </c>
      <c r="R94" s="202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80</v>
      </c>
      <c r="D95" s="67">
        <v>42675</v>
      </c>
      <c r="E95" s="192" t="s">
        <v>24</v>
      </c>
      <c r="F95" s="96" t="s">
        <v>128</v>
      </c>
      <c r="G95" s="64" t="s">
        <v>206</v>
      </c>
      <c r="H95" s="64" t="s">
        <v>203</v>
      </c>
      <c r="I95" s="65" t="s">
        <v>9</v>
      </c>
      <c r="J95" s="66"/>
      <c r="K95" s="67"/>
      <c r="L95" s="65"/>
      <c r="M95" s="65"/>
      <c r="N95" s="64" t="s">
        <v>125</v>
      </c>
      <c r="O95" s="68">
        <v>87500</v>
      </c>
      <c r="P95" s="69"/>
      <c r="Q95" s="199" t="s">
        <v>189</v>
      </c>
      <c r="R95" s="202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80</v>
      </c>
      <c r="D96" s="67">
        <v>42676</v>
      </c>
      <c r="E96" s="192" t="s">
        <v>21</v>
      </c>
      <c r="F96" s="195" t="s">
        <v>331</v>
      </c>
      <c r="G96" s="195" t="s">
        <v>332</v>
      </c>
      <c r="H96" s="195" t="s">
        <v>333</v>
      </c>
      <c r="I96" s="192" t="s">
        <v>9</v>
      </c>
      <c r="J96" s="196"/>
      <c r="K96" s="193"/>
      <c r="L96" s="194"/>
      <c r="M96" s="194"/>
      <c r="N96" s="195" t="s">
        <v>334</v>
      </c>
      <c r="O96" s="197"/>
      <c r="P96" s="69">
        <f>51480000*2</f>
        <v>102960000</v>
      </c>
      <c r="Q96" s="199" t="s">
        <v>189</v>
      </c>
      <c r="R96" s="202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80</v>
      </c>
      <c r="D97" s="67">
        <v>42676</v>
      </c>
      <c r="E97" s="192" t="s">
        <v>22</v>
      </c>
      <c r="F97" s="96" t="s">
        <v>129</v>
      </c>
      <c r="G97" s="96" t="s">
        <v>130</v>
      </c>
      <c r="H97" s="96" t="s">
        <v>126</v>
      </c>
      <c r="I97" s="94" t="s">
        <v>9</v>
      </c>
      <c r="J97" s="66"/>
      <c r="K97" s="67"/>
      <c r="L97" s="65"/>
      <c r="M97" s="65"/>
      <c r="N97" s="96" t="s">
        <v>131</v>
      </c>
      <c r="O97" s="68"/>
      <c r="P97" s="69">
        <v>38000000</v>
      </c>
      <c r="Q97" s="199" t="s">
        <v>189</v>
      </c>
      <c r="R97" s="202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102</v>
      </c>
      <c r="D98" s="67">
        <v>42676</v>
      </c>
      <c r="E98" s="192" t="s">
        <v>23</v>
      </c>
      <c r="F98" s="64" t="s">
        <v>222</v>
      </c>
      <c r="G98" s="64" t="s">
        <v>223</v>
      </c>
      <c r="H98" s="64" t="s">
        <v>224</v>
      </c>
      <c r="I98" s="99" t="s">
        <v>156</v>
      </c>
      <c r="J98" s="66"/>
      <c r="K98" s="67"/>
      <c r="L98" s="65"/>
      <c r="M98" s="65"/>
      <c r="N98" s="64" t="s">
        <v>225</v>
      </c>
      <c r="O98" s="68"/>
      <c r="P98" s="69">
        <v>27760761</v>
      </c>
      <c r="Q98" s="199" t="s">
        <v>189</v>
      </c>
      <c r="R98" s="202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102</v>
      </c>
      <c r="D99" s="67">
        <v>42676</v>
      </c>
      <c r="E99" s="192" t="s">
        <v>24</v>
      </c>
      <c r="F99" s="64" t="s">
        <v>368</v>
      </c>
      <c r="G99" s="64" t="s">
        <v>369</v>
      </c>
      <c r="H99" s="64" t="s">
        <v>370</v>
      </c>
      <c r="I99" s="99" t="s">
        <v>156</v>
      </c>
      <c r="J99" s="66"/>
      <c r="K99" s="67"/>
      <c r="L99" s="65"/>
      <c r="M99" s="65"/>
      <c r="N99" s="64" t="s">
        <v>371</v>
      </c>
      <c r="O99" s="68"/>
      <c r="P99" s="69">
        <v>10035666</v>
      </c>
      <c r="Q99" s="199" t="s">
        <v>189</v>
      </c>
      <c r="R99" s="202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80</v>
      </c>
      <c r="D100" s="67">
        <v>42676</v>
      </c>
      <c r="E100" s="192" t="s">
        <v>82</v>
      </c>
      <c r="F100" s="64" t="s">
        <v>97</v>
      </c>
      <c r="G100" s="64" t="s">
        <v>98</v>
      </c>
      <c r="H100" s="64" t="s">
        <v>99</v>
      </c>
      <c r="I100" s="62" t="s">
        <v>9</v>
      </c>
      <c r="J100" s="66"/>
      <c r="K100" s="67"/>
      <c r="L100" s="65"/>
      <c r="M100" s="65"/>
      <c r="N100" s="64" t="s">
        <v>100</v>
      </c>
      <c r="O100" s="68"/>
      <c r="P100" s="69">
        <v>100000000</v>
      </c>
      <c r="Q100" s="199" t="s">
        <v>189</v>
      </c>
      <c r="R100" s="202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80</v>
      </c>
      <c r="D101" s="67">
        <v>42676</v>
      </c>
      <c r="E101" s="192" t="s">
        <v>83</v>
      </c>
      <c r="F101" s="64" t="s">
        <v>185</v>
      </c>
      <c r="G101" s="64" t="s">
        <v>191</v>
      </c>
      <c r="H101" s="64" t="s">
        <v>186</v>
      </c>
      <c r="I101" s="94" t="s">
        <v>9</v>
      </c>
      <c r="J101" s="66"/>
      <c r="K101" s="67"/>
      <c r="L101" s="65"/>
      <c r="M101" s="65"/>
      <c r="N101" s="64" t="s">
        <v>187</v>
      </c>
      <c r="O101" s="68"/>
      <c r="P101" s="69">
        <v>58750000</v>
      </c>
      <c r="Q101" s="199" t="s">
        <v>189</v>
      </c>
      <c r="R101" s="202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80</v>
      </c>
      <c r="D102" s="67">
        <v>42676</v>
      </c>
      <c r="E102" s="192" t="s">
        <v>167</v>
      </c>
      <c r="F102" s="64" t="s">
        <v>321</v>
      </c>
      <c r="G102" s="64" t="s">
        <v>322</v>
      </c>
      <c r="H102" s="64" t="s">
        <v>323</v>
      </c>
      <c r="I102" s="65" t="s">
        <v>324</v>
      </c>
      <c r="J102" s="66"/>
      <c r="K102" s="67"/>
      <c r="L102" s="65"/>
      <c r="M102" s="65"/>
      <c r="N102" s="64" t="s">
        <v>320</v>
      </c>
      <c r="O102" s="68"/>
      <c r="P102" s="69">
        <v>100000000</v>
      </c>
      <c r="Q102" s="199" t="s">
        <v>189</v>
      </c>
      <c r="R102" s="202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80</v>
      </c>
      <c r="D103" s="67">
        <v>42676</v>
      </c>
      <c r="E103" s="192" t="s">
        <v>217</v>
      </c>
      <c r="F103" s="64" t="s">
        <v>372</v>
      </c>
      <c r="G103" s="64" t="s">
        <v>373</v>
      </c>
      <c r="H103" s="64" t="s">
        <v>374</v>
      </c>
      <c r="I103" s="94" t="s">
        <v>9</v>
      </c>
      <c r="J103" s="66"/>
      <c r="K103" s="67"/>
      <c r="L103" s="65"/>
      <c r="M103" s="65"/>
      <c r="N103" s="64" t="s">
        <v>375</v>
      </c>
      <c r="O103" s="68"/>
      <c r="P103" s="69">
        <v>29656000</v>
      </c>
      <c r="Q103" s="199" t="s">
        <v>189</v>
      </c>
      <c r="R103" s="202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ht="18.75" customHeight="1">
      <c r="A104" s="55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62">
        <f t="shared" si="0"/>
        <v>101</v>
      </c>
      <c r="C104" s="62" t="s">
        <v>141</v>
      </c>
      <c r="D104" s="67">
        <v>42689</v>
      </c>
      <c r="E104" s="192" t="s">
        <v>21</v>
      </c>
      <c r="F104" s="96" t="s">
        <v>128</v>
      </c>
      <c r="G104" s="96" t="s">
        <v>367</v>
      </c>
      <c r="H104" s="96" t="s">
        <v>203</v>
      </c>
      <c r="I104" s="94" t="s">
        <v>9</v>
      </c>
      <c r="J104" s="66"/>
      <c r="K104" s="67"/>
      <c r="L104" s="65"/>
      <c r="M104" s="65"/>
      <c r="N104" s="64" t="s">
        <v>166</v>
      </c>
      <c r="O104" s="68">
        <v>4400</v>
      </c>
      <c r="P104" s="69"/>
      <c r="Q104" s="199" t="s">
        <v>189</v>
      </c>
      <c r="R104" s="202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124</v>
      </c>
      <c r="D105" s="67">
        <v>42689</v>
      </c>
      <c r="E105" s="192" t="s">
        <v>22</v>
      </c>
      <c r="F105" s="64" t="s">
        <v>34</v>
      </c>
      <c r="G105" s="64" t="s">
        <v>30</v>
      </c>
      <c r="H105" s="64" t="s">
        <v>31</v>
      </c>
      <c r="I105" s="65" t="s">
        <v>33</v>
      </c>
      <c r="J105" s="66"/>
      <c r="K105" s="67"/>
      <c r="L105" s="65"/>
      <c r="M105" s="65"/>
      <c r="N105" s="64" t="s">
        <v>376</v>
      </c>
      <c r="O105" s="68"/>
      <c r="P105" s="69">
        <v>22634810</v>
      </c>
      <c r="Q105" s="199" t="s">
        <v>189</v>
      </c>
      <c r="R105" s="202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102</v>
      </c>
      <c r="D106" s="67">
        <v>42689</v>
      </c>
      <c r="E106" s="192" t="s">
        <v>23</v>
      </c>
      <c r="F106" s="64" t="s">
        <v>357</v>
      </c>
      <c r="G106" s="64" t="s">
        <v>358</v>
      </c>
      <c r="H106" s="64" t="s">
        <v>360</v>
      </c>
      <c r="I106" s="94" t="s">
        <v>9</v>
      </c>
      <c r="J106" s="66"/>
      <c r="K106" s="67"/>
      <c r="L106" s="65"/>
      <c r="M106" s="65"/>
      <c r="N106" s="64" t="s">
        <v>377</v>
      </c>
      <c r="O106" s="68"/>
      <c r="P106" s="69">
        <v>100000000</v>
      </c>
      <c r="Q106" s="199" t="s">
        <v>189</v>
      </c>
      <c r="R106" s="202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141</v>
      </c>
      <c r="D107" s="67">
        <v>42697</v>
      </c>
      <c r="E107" s="192" t="s">
        <v>21</v>
      </c>
      <c r="F107" s="64" t="s">
        <v>383</v>
      </c>
      <c r="G107" s="64" t="s">
        <v>384</v>
      </c>
      <c r="H107" s="64" t="s">
        <v>385</v>
      </c>
      <c r="I107" s="65" t="s">
        <v>386</v>
      </c>
      <c r="J107" s="66"/>
      <c r="K107" s="67"/>
      <c r="L107" s="65"/>
      <c r="M107" s="65"/>
      <c r="N107" s="64" t="s">
        <v>387</v>
      </c>
      <c r="O107" s="68"/>
      <c r="P107" s="69">
        <v>4394000000</v>
      </c>
      <c r="Q107" s="199" t="s">
        <v>189</v>
      </c>
      <c r="R107" s="202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141</v>
      </c>
      <c r="D108" s="67">
        <v>42697</v>
      </c>
      <c r="E108" s="192" t="s">
        <v>22</v>
      </c>
      <c r="F108" s="64" t="s">
        <v>34</v>
      </c>
      <c r="G108" s="64" t="s">
        <v>30</v>
      </c>
      <c r="H108" s="64" t="s">
        <v>31</v>
      </c>
      <c r="I108" s="65" t="s">
        <v>33</v>
      </c>
      <c r="J108" s="66"/>
      <c r="K108" s="67"/>
      <c r="L108" s="65"/>
      <c r="M108" s="65"/>
      <c r="N108" s="64" t="s">
        <v>388</v>
      </c>
      <c r="O108" s="68"/>
      <c r="P108" s="69">
        <v>31233070</v>
      </c>
      <c r="Q108" s="199" t="s">
        <v>189</v>
      </c>
      <c r="R108" s="202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141</v>
      </c>
      <c r="D109" s="67">
        <v>42697</v>
      </c>
      <c r="E109" s="192" t="s">
        <v>23</v>
      </c>
      <c r="F109" s="96" t="s">
        <v>129</v>
      </c>
      <c r="G109" s="96" t="s">
        <v>130</v>
      </c>
      <c r="H109" s="96" t="s">
        <v>126</v>
      </c>
      <c r="I109" s="94" t="s">
        <v>9</v>
      </c>
      <c r="J109" s="66"/>
      <c r="K109" s="67"/>
      <c r="L109" s="65"/>
      <c r="M109" s="65"/>
      <c r="N109" s="96" t="s">
        <v>387</v>
      </c>
      <c r="O109" s="68"/>
      <c r="P109" s="69">
        <v>2250000000</v>
      </c>
      <c r="Q109" s="199" t="s">
        <v>189</v>
      </c>
      <c r="R109" s="202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124</v>
      </c>
      <c r="D110" s="67">
        <v>42698</v>
      </c>
      <c r="E110" s="192" t="s">
        <v>21</v>
      </c>
      <c r="F110" s="96" t="s">
        <v>128</v>
      </c>
      <c r="G110" s="96" t="s">
        <v>127</v>
      </c>
      <c r="H110" s="96" t="s">
        <v>126</v>
      </c>
      <c r="I110" s="94" t="s">
        <v>9</v>
      </c>
      <c r="J110" s="97"/>
      <c r="K110" s="67"/>
      <c r="L110" s="65"/>
      <c r="M110" s="65"/>
      <c r="N110" s="64" t="s">
        <v>125</v>
      </c>
      <c r="O110" s="68">
        <v>4600</v>
      </c>
      <c r="P110" s="69"/>
      <c r="Q110" s="199" t="s">
        <v>189</v>
      </c>
      <c r="R110" s="202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124</v>
      </c>
      <c r="D111" s="67">
        <v>42698</v>
      </c>
      <c r="E111" s="192" t="s">
        <v>22</v>
      </c>
      <c r="F111" s="64" t="s">
        <v>89</v>
      </c>
      <c r="G111" s="64" t="s">
        <v>90</v>
      </c>
      <c r="H111" s="64" t="s">
        <v>91</v>
      </c>
      <c r="I111" s="65" t="s">
        <v>33</v>
      </c>
      <c r="J111" s="66"/>
      <c r="K111" s="67"/>
      <c r="L111" s="65"/>
      <c r="M111" s="65"/>
      <c r="N111" s="64" t="s">
        <v>92</v>
      </c>
      <c r="O111" s="68"/>
      <c r="P111" s="69">
        <v>80000000</v>
      </c>
      <c r="Q111" s="199" t="s">
        <v>189</v>
      </c>
      <c r="R111" s="202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124</v>
      </c>
      <c r="D112" s="67">
        <v>42698</v>
      </c>
      <c r="E112" s="192" t="s">
        <v>23</v>
      </c>
      <c r="F112" s="64" t="s">
        <v>173</v>
      </c>
      <c r="G112" s="71" t="s">
        <v>174</v>
      </c>
      <c r="H112" s="64" t="s">
        <v>175</v>
      </c>
      <c r="I112" s="94" t="s">
        <v>9</v>
      </c>
      <c r="J112" s="66"/>
      <c r="K112" s="67"/>
      <c r="L112" s="65"/>
      <c r="M112" s="65"/>
      <c r="N112" s="64" t="s">
        <v>389</v>
      </c>
      <c r="O112" s="68"/>
      <c r="P112" s="69">
        <v>810000</v>
      </c>
      <c r="Q112" s="199" t="s">
        <v>189</v>
      </c>
      <c r="R112" s="202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124</v>
      </c>
      <c r="D113" s="67">
        <v>42698</v>
      </c>
      <c r="E113" s="192" t="s">
        <v>24</v>
      </c>
      <c r="F113" s="64" t="s">
        <v>173</v>
      </c>
      <c r="G113" s="71" t="s">
        <v>176</v>
      </c>
      <c r="H113" s="64" t="s">
        <v>177</v>
      </c>
      <c r="I113" s="94" t="s">
        <v>9</v>
      </c>
      <c r="J113" s="66"/>
      <c r="K113" s="67"/>
      <c r="L113" s="65"/>
      <c r="M113" s="65"/>
      <c r="N113" s="64" t="s">
        <v>389</v>
      </c>
      <c r="O113" s="68"/>
      <c r="P113" s="69">
        <v>2230000</v>
      </c>
      <c r="Q113" s="199" t="s">
        <v>189</v>
      </c>
      <c r="R113" s="202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141</v>
      </c>
      <c r="D114" s="67">
        <v>42699</v>
      </c>
      <c r="E114" s="192" t="s">
        <v>21</v>
      </c>
      <c r="F114" s="64" t="s">
        <v>390</v>
      </c>
      <c r="G114" s="64" t="s">
        <v>391</v>
      </c>
      <c r="H114" s="64" t="s">
        <v>385</v>
      </c>
      <c r="I114" s="65" t="s">
        <v>386</v>
      </c>
      <c r="J114" s="66"/>
      <c r="K114" s="67"/>
      <c r="L114" s="65"/>
      <c r="M114" s="65"/>
      <c r="N114" s="96" t="s">
        <v>387</v>
      </c>
      <c r="O114" s="68"/>
      <c r="P114" s="69">
        <v>1441167000</v>
      </c>
      <c r="Q114" s="199" t="s">
        <v>189</v>
      </c>
      <c r="R114" s="202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ref="B115:B128" si="7">IF(C115&lt;&gt;"",ROW()-3,"")</f>
        <v>112</v>
      </c>
      <c r="C115" s="62" t="s">
        <v>141</v>
      </c>
      <c r="D115" s="67">
        <v>42699</v>
      </c>
      <c r="E115" s="192" t="s">
        <v>22</v>
      </c>
      <c r="F115" s="96" t="s">
        <v>129</v>
      </c>
      <c r="G115" s="96" t="s">
        <v>130</v>
      </c>
      <c r="H115" s="96" t="s">
        <v>126</v>
      </c>
      <c r="I115" s="94" t="s">
        <v>9</v>
      </c>
      <c r="J115" s="66"/>
      <c r="K115" s="67"/>
      <c r="L115" s="65"/>
      <c r="M115" s="65"/>
      <c r="N115" s="96" t="s">
        <v>387</v>
      </c>
      <c r="O115" s="68"/>
      <c r="P115" s="69">
        <v>1319000000</v>
      </c>
      <c r="Q115" s="92" t="s">
        <v>190</v>
      </c>
      <c r="R115" s="202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7"/>
        <v>113</v>
      </c>
      <c r="C116" s="62" t="s">
        <v>141</v>
      </c>
      <c r="D116" s="67">
        <v>42699</v>
      </c>
      <c r="E116" s="192" t="s">
        <v>23</v>
      </c>
      <c r="F116" s="64" t="s">
        <v>392</v>
      </c>
      <c r="G116" s="64" t="s">
        <v>393</v>
      </c>
      <c r="H116" s="64" t="s">
        <v>396</v>
      </c>
      <c r="I116" s="65" t="s">
        <v>394</v>
      </c>
      <c r="J116" s="66"/>
      <c r="K116" s="67"/>
      <c r="L116" s="65"/>
      <c r="M116" s="65"/>
      <c r="N116" s="96" t="s">
        <v>387</v>
      </c>
      <c r="O116" s="68"/>
      <c r="P116" s="69">
        <v>541450000</v>
      </c>
      <c r="Q116" s="92" t="s">
        <v>190</v>
      </c>
      <c r="R116" s="202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7"/>
        <v>114</v>
      </c>
      <c r="C117" s="62" t="s">
        <v>141</v>
      </c>
      <c r="D117" s="67">
        <v>42703</v>
      </c>
      <c r="E117" s="192" t="s">
        <v>21</v>
      </c>
      <c r="F117" s="64" t="s">
        <v>173</v>
      </c>
      <c r="G117" s="71" t="s">
        <v>176</v>
      </c>
      <c r="H117" s="64" t="s">
        <v>177</v>
      </c>
      <c r="I117" s="94" t="s">
        <v>9</v>
      </c>
      <c r="J117" s="66"/>
      <c r="K117" s="67"/>
      <c r="L117" s="65"/>
      <c r="M117" s="65"/>
      <c r="N117" s="64" t="s">
        <v>395</v>
      </c>
      <c r="O117" s="68"/>
      <c r="P117" s="69">
        <v>3555000</v>
      </c>
      <c r="Q117" s="92" t="s">
        <v>190</v>
      </c>
      <c r="R117" s="202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si="7"/>
        <v>115</v>
      </c>
      <c r="C118" s="62" t="s">
        <v>141</v>
      </c>
      <c r="D118" s="67">
        <v>42703</v>
      </c>
      <c r="E118" s="192" t="s">
        <v>22</v>
      </c>
      <c r="F118" s="64" t="s">
        <v>390</v>
      </c>
      <c r="G118" s="64" t="s">
        <v>391</v>
      </c>
      <c r="H118" s="64" t="s">
        <v>385</v>
      </c>
      <c r="I118" s="65" t="s">
        <v>386</v>
      </c>
      <c r="J118" s="66"/>
      <c r="K118" s="67"/>
      <c r="L118" s="65"/>
      <c r="M118" s="65"/>
      <c r="N118" s="96" t="s">
        <v>387</v>
      </c>
      <c r="O118" s="68"/>
      <c r="P118" s="69">
        <v>1508000000</v>
      </c>
      <c r="Q118" s="92" t="s">
        <v>190</v>
      </c>
      <c r="R118" s="202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141</v>
      </c>
      <c r="D119" s="67">
        <v>42703</v>
      </c>
      <c r="E119" s="192" t="s">
        <v>23</v>
      </c>
      <c r="F119" s="64" t="s">
        <v>383</v>
      </c>
      <c r="G119" s="64" t="s">
        <v>384</v>
      </c>
      <c r="H119" s="64" t="s">
        <v>385</v>
      </c>
      <c r="I119" s="65" t="s">
        <v>386</v>
      </c>
      <c r="J119" s="66"/>
      <c r="K119" s="67"/>
      <c r="L119" s="65"/>
      <c r="M119" s="65"/>
      <c r="N119" s="64" t="s">
        <v>387</v>
      </c>
      <c r="O119" s="68"/>
      <c r="P119" s="69">
        <v>1674100000</v>
      </c>
      <c r="Q119" s="92" t="s">
        <v>190</v>
      </c>
      <c r="R119" s="202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141</v>
      </c>
      <c r="D120" s="67">
        <v>42703</v>
      </c>
      <c r="E120" s="192" t="s">
        <v>24</v>
      </c>
      <c r="F120" s="96" t="s">
        <v>129</v>
      </c>
      <c r="G120" s="96" t="s">
        <v>130</v>
      </c>
      <c r="H120" s="96" t="s">
        <v>126</v>
      </c>
      <c r="I120" s="94" t="s">
        <v>9</v>
      </c>
      <c r="J120" s="66"/>
      <c r="K120" s="67"/>
      <c r="L120" s="65"/>
      <c r="M120" s="65"/>
      <c r="N120" s="64" t="s">
        <v>387</v>
      </c>
      <c r="O120" s="68"/>
      <c r="P120" s="69">
        <v>100000000</v>
      </c>
      <c r="Q120" s="92" t="s">
        <v>190</v>
      </c>
      <c r="R120" s="202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102</v>
      </c>
      <c r="D121" s="67">
        <v>42703</v>
      </c>
      <c r="E121" s="192" t="s">
        <v>82</v>
      </c>
      <c r="F121" s="64" t="s">
        <v>162</v>
      </c>
      <c r="G121" s="64" t="s">
        <v>198</v>
      </c>
      <c r="H121" s="64" t="s">
        <v>163</v>
      </c>
      <c r="I121" s="99" t="s">
        <v>156</v>
      </c>
      <c r="J121" s="66"/>
      <c r="K121" s="67"/>
      <c r="L121" s="65"/>
      <c r="M121" s="65"/>
      <c r="N121" s="104" t="s">
        <v>397</v>
      </c>
      <c r="O121" s="68"/>
      <c r="P121" s="69">
        <f>46868580+47089900</f>
        <v>93958480</v>
      </c>
      <c r="Q121" s="92" t="s">
        <v>190</v>
      </c>
      <c r="R121" s="202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124</v>
      </c>
      <c r="D122" s="67">
        <v>42704</v>
      </c>
      <c r="E122" s="192" t="s">
        <v>21</v>
      </c>
      <c r="F122" s="64" t="s">
        <v>34</v>
      </c>
      <c r="G122" s="64" t="s">
        <v>30</v>
      </c>
      <c r="H122" s="64" t="s">
        <v>31</v>
      </c>
      <c r="I122" s="65" t="s">
        <v>33</v>
      </c>
      <c r="J122" s="66"/>
      <c r="K122" s="67"/>
      <c r="L122" s="65"/>
      <c r="M122" s="65"/>
      <c r="N122" s="64" t="s">
        <v>398</v>
      </c>
      <c r="O122" s="68"/>
      <c r="P122" s="69">
        <v>34187120</v>
      </c>
      <c r="Q122" s="92"/>
      <c r="R122" s="202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141</v>
      </c>
      <c r="D123" s="67">
        <v>42704</v>
      </c>
      <c r="E123" s="192" t="s">
        <v>22</v>
      </c>
      <c r="F123" s="96" t="s">
        <v>128</v>
      </c>
      <c r="G123" s="96" t="s">
        <v>127</v>
      </c>
      <c r="H123" s="96" t="s">
        <v>126</v>
      </c>
      <c r="I123" s="94" t="s">
        <v>9</v>
      </c>
      <c r="J123" s="97"/>
      <c r="K123" s="98"/>
      <c r="L123" s="99"/>
      <c r="M123" s="65"/>
      <c r="N123" s="64" t="s">
        <v>160</v>
      </c>
      <c r="O123" s="68"/>
      <c r="P123" s="69">
        <v>20000000</v>
      </c>
      <c r="Q123" s="92"/>
      <c r="R123" s="202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141</v>
      </c>
      <c r="D124" s="67">
        <v>42709</v>
      </c>
      <c r="E124" s="192" t="s">
        <v>21</v>
      </c>
      <c r="F124" s="96" t="s">
        <v>128</v>
      </c>
      <c r="G124" s="96" t="s">
        <v>296</v>
      </c>
      <c r="H124" s="96" t="s">
        <v>126</v>
      </c>
      <c r="I124" s="94" t="s">
        <v>9</v>
      </c>
      <c r="J124" s="66"/>
      <c r="K124" s="67"/>
      <c r="L124" s="65"/>
      <c r="M124" s="65"/>
      <c r="N124" s="64" t="s">
        <v>166</v>
      </c>
      <c r="O124" s="68">
        <v>95500</v>
      </c>
      <c r="P124" s="69"/>
      <c r="Q124" s="92"/>
      <c r="R124" s="202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>IF(C125&lt;&gt;"",ROW()-3,"")</f>
        <v>122</v>
      </c>
      <c r="C125" s="62" t="s">
        <v>141</v>
      </c>
      <c r="D125" s="67">
        <v>42710</v>
      </c>
      <c r="E125" s="192" t="s">
        <v>21</v>
      </c>
      <c r="F125" s="64" t="s">
        <v>383</v>
      </c>
      <c r="G125" s="64" t="s">
        <v>384</v>
      </c>
      <c r="H125" s="64" t="s">
        <v>385</v>
      </c>
      <c r="I125" s="65" t="s">
        <v>386</v>
      </c>
      <c r="J125" s="66"/>
      <c r="K125" s="67"/>
      <c r="L125" s="65"/>
      <c r="M125" s="65"/>
      <c r="N125" s="64" t="s">
        <v>387</v>
      </c>
      <c r="O125" s="68"/>
      <c r="P125" s="69">
        <v>2918780500</v>
      </c>
      <c r="Q125" s="92"/>
      <c r="R125" s="202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>IF(C126&lt;&gt;"",ROW()-3,"")</f>
        <v>123</v>
      </c>
      <c r="C126" s="62" t="s">
        <v>141</v>
      </c>
      <c r="D126" s="67">
        <v>42710</v>
      </c>
      <c r="E126" s="192" t="s">
        <v>22</v>
      </c>
      <c r="F126" s="64" t="s">
        <v>390</v>
      </c>
      <c r="G126" s="64" t="s">
        <v>391</v>
      </c>
      <c r="H126" s="64" t="s">
        <v>385</v>
      </c>
      <c r="I126" s="65" t="s">
        <v>386</v>
      </c>
      <c r="J126" s="66"/>
      <c r="K126" s="67"/>
      <c r="L126" s="65"/>
      <c r="M126" s="65"/>
      <c r="N126" s="96" t="s">
        <v>387</v>
      </c>
      <c r="O126" s="68"/>
      <c r="P126" s="69">
        <v>1824920500</v>
      </c>
      <c r="Q126" s="92"/>
      <c r="R126" s="202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>IF(C127&lt;&gt;"",ROW()-3,"")</f>
        <v>124</v>
      </c>
      <c r="C127" s="62" t="s">
        <v>141</v>
      </c>
      <c r="D127" s="67">
        <v>42710</v>
      </c>
      <c r="E127" s="192" t="s">
        <v>23</v>
      </c>
      <c r="F127" s="64" t="s">
        <v>392</v>
      </c>
      <c r="G127" s="64" t="s">
        <v>393</v>
      </c>
      <c r="H127" s="64" t="s">
        <v>396</v>
      </c>
      <c r="I127" s="65" t="s">
        <v>394</v>
      </c>
      <c r="J127" s="66"/>
      <c r="K127" s="67"/>
      <c r="L127" s="65"/>
      <c r="M127" s="65"/>
      <c r="N127" s="96" t="s">
        <v>387</v>
      </c>
      <c r="O127" s="68"/>
      <c r="P127" s="69">
        <v>552669000</v>
      </c>
      <c r="Q127" s="92"/>
      <c r="R127" s="202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 t="shared" si="7"/>
        <v>125</v>
      </c>
      <c r="C128" s="62" t="s">
        <v>102</v>
      </c>
      <c r="D128" s="67">
        <v>42712</v>
      </c>
      <c r="E128" s="192" t="s">
        <v>21</v>
      </c>
      <c r="F128" s="64" t="s">
        <v>399</v>
      </c>
      <c r="G128" s="64" t="s">
        <v>401</v>
      </c>
      <c r="H128" s="64" t="s">
        <v>402</v>
      </c>
      <c r="I128" s="65" t="s">
        <v>403</v>
      </c>
      <c r="J128" s="66"/>
      <c r="K128" s="67"/>
      <c r="L128" s="65"/>
      <c r="M128" s="65"/>
      <c r="N128" s="64" t="s">
        <v>404</v>
      </c>
      <c r="O128" s="68"/>
      <c r="P128" s="69">
        <v>7533000</v>
      </c>
      <c r="Q128" s="92"/>
      <c r="R128" s="202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 t="shared" si="0"/>
        <v>126</v>
      </c>
      <c r="C129" s="62" t="s">
        <v>102</v>
      </c>
      <c r="D129" s="67">
        <v>42712</v>
      </c>
      <c r="E129" s="192" t="s">
        <v>22</v>
      </c>
      <c r="F129" s="64" t="s">
        <v>400</v>
      </c>
      <c r="G129" s="64" t="s">
        <v>405</v>
      </c>
      <c r="H129" s="64" t="s">
        <v>406</v>
      </c>
      <c r="I129" s="65" t="s">
        <v>403</v>
      </c>
      <c r="J129" s="66"/>
      <c r="K129" s="67"/>
      <c r="L129" s="65"/>
      <c r="M129" s="65"/>
      <c r="N129" s="64" t="s">
        <v>407</v>
      </c>
      <c r="O129" s="68"/>
      <c r="P129" s="69">
        <v>9005000</v>
      </c>
      <c r="Q129" s="92"/>
      <c r="R129" s="202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 t="shared" si="0"/>
        <v>127</v>
      </c>
      <c r="C130" s="62" t="s">
        <v>124</v>
      </c>
      <c r="D130" s="67">
        <v>42712</v>
      </c>
      <c r="E130" s="192" t="s">
        <v>23</v>
      </c>
      <c r="F130" s="96" t="s">
        <v>129</v>
      </c>
      <c r="G130" s="96" t="s">
        <v>130</v>
      </c>
      <c r="H130" s="96" t="s">
        <v>126</v>
      </c>
      <c r="I130" s="94" t="s">
        <v>9</v>
      </c>
      <c r="J130" s="66"/>
      <c r="K130" s="67"/>
      <c r="L130" s="65"/>
      <c r="M130" s="65"/>
      <c r="N130" s="96" t="s">
        <v>131</v>
      </c>
      <c r="O130" s="68"/>
      <c r="P130" s="69">
        <v>10000000</v>
      </c>
      <c r="Q130" s="92"/>
      <c r="R130" s="202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0"/>
        <v>128</v>
      </c>
      <c r="C131" s="62" t="s">
        <v>124</v>
      </c>
      <c r="D131" s="67">
        <v>42713</v>
      </c>
      <c r="E131" s="192" t="s">
        <v>21</v>
      </c>
      <c r="F131" s="64" t="s">
        <v>169</v>
      </c>
      <c r="G131" s="71" t="s">
        <v>170</v>
      </c>
      <c r="H131" s="64" t="s">
        <v>171</v>
      </c>
      <c r="I131" s="94" t="s">
        <v>9</v>
      </c>
      <c r="J131" s="66"/>
      <c r="K131" s="67"/>
      <c r="L131" s="65"/>
      <c r="M131" s="65"/>
      <c r="N131" s="64" t="s">
        <v>172</v>
      </c>
      <c r="O131" s="68"/>
      <c r="P131" s="69">
        <v>200000000</v>
      </c>
      <c r="Q131" s="92"/>
      <c r="R131" s="202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124</v>
      </c>
      <c r="D132" s="67">
        <v>42713</v>
      </c>
      <c r="E132" s="192" t="s">
        <v>22</v>
      </c>
      <c r="F132" s="64" t="s">
        <v>361</v>
      </c>
      <c r="G132" s="64" t="s">
        <v>362</v>
      </c>
      <c r="H132" s="64" t="s">
        <v>363</v>
      </c>
      <c r="I132" s="62" t="s">
        <v>9</v>
      </c>
      <c r="J132" s="66"/>
      <c r="K132" s="67"/>
      <c r="L132" s="65"/>
      <c r="M132" s="65"/>
      <c r="N132" s="64" t="s">
        <v>364</v>
      </c>
      <c r="O132" s="68"/>
      <c r="P132" s="69">
        <v>50658716</v>
      </c>
      <c r="Q132" s="92"/>
      <c r="R132" s="202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124</v>
      </c>
      <c r="D133" s="67">
        <v>42713</v>
      </c>
      <c r="E133" s="192" t="s">
        <v>23</v>
      </c>
      <c r="F133" s="64" t="s">
        <v>409</v>
      </c>
      <c r="G133" s="64" t="s">
        <v>410</v>
      </c>
      <c r="H133" s="64" t="s">
        <v>411</v>
      </c>
      <c r="I133" s="62" t="s">
        <v>9</v>
      </c>
      <c r="J133" s="66"/>
      <c r="K133" s="67"/>
      <c r="L133" s="65"/>
      <c r="M133" s="65"/>
      <c r="N133" s="64" t="s">
        <v>412</v>
      </c>
      <c r="O133" s="68"/>
      <c r="P133" s="69">
        <v>24884526</v>
      </c>
      <c r="Q133" s="92"/>
      <c r="R133" s="202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ref="B134:B136" si="8">IF(C134&lt;&gt;"",ROW()-3,"")</f>
        <v>131</v>
      </c>
      <c r="C134" s="62" t="s">
        <v>124</v>
      </c>
      <c r="D134" s="67">
        <v>42713</v>
      </c>
      <c r="E134" s="192" t="s">
        <v>82</v>
      </c>
      <c r="F134" s="70" t="s">
        <v>4</v>
      </c>
      <c r="G134" s="70" t="s">
        <v>5</v>
      </c>
      <c r="H134" s="70" t="s">
        <v>6</v>
      </c>
      <c r="I134" s="62" t="s">
        <v>9</v>
      </c>
      <c r="J134" s="72"/>
      <c r="K134" s="63"/>
      <c r="L134" s="62"/>
      <c r="M134" s="62"/>
      <c r="N134" s="70" t="s">
        <v>416</v>
      </c>
      <c r="O134" s="68"/>
      <c r="P134" s="69">
        <v>15972638</v>
      </c>
      <c r="Q134" s="92"/>
      <c r="R134" s="202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8"/>
        <v>132</v>
      </c>
      <c r="C135" s="62" t="s">
        <v>124</v>
      </c>
      <c r="D135" s="67">
        <v>42713</v>
      </c>
      <c r="E135" s="192" t="s">
        <v>83</v>
      </c>
      <c r="F135" s="64" t="s">
        <v>34</v>
      </c>
      <c r="G135" s="64" t="s">
        <v>30</v>
      </c>
      <c r="H135" s="64" t="s">
        <v>31</v>
      </c>
      <c r="I135" s="65" t="s">
        <v>33</v>
      </c>
      <c r="J135" s="66"/>
      <c r="K135" s="67"/>
      <c r="L135" s="65"/>
      <c r="M135" s="65"/>
      <c r="N135" s="64" t="s">
        <v>417</v>
      </c>
      <c r="O135" s="68"/>
      <c r="P135" s="69">
        <v>27868940</v>
      </c>
      <c r="Q135" s="92"/>
      <c r="R135" s="202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8"/>
        <v>133</v>
      </c>
      <c r="C136" s="62" t="s">
        <v>102</v>
      </c>
      <c r="D136" s="67">
        <v>42713</v>
      </c>
      <c r="E136" s="192" t="s">
        <v>167</v>
      </c>
      <c r="F136" s="64" t="s">
        <v>399</v>
      </c>
      <c r="G136" s="64" t="s">
        <v>401</v>
      </c>
      <c r="H136" s="64" t="s">
        <v>402</v>
      </c>
      <c r="I136" s="65" t="s">
        <v>403</v>
      </c>
      <c r="J136" s="66"/>
      <c r="K136" s="67"/>
      <c r="L136" s="65"/>
      <c r="M136" s="65"/>
      <c r="N136" s="64" t="s">
        <v>408</v>
      </c>
      <c r="O136" s="68"/>
      <c r="P136" s="69">
        <v>7533000</v>
      </c>
      <c r="Q136" s="92"/>
      <c r="R136" s="202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3" si="9">IF(C137&lt;&gt;"",ROW()-3,"")</f>
        <v>134</v>
      </c>
      <c r="C137" s="62" t="s">
        <v>124</v>
      </c>
      <c r="D137" s="67">
        <v>42713</v>
      </c>
      <c r="E137" s="192" t="s">
        <v>217</v>
      </c>
      <c r="F137" s="96" t="s">
        <v>149</v>
      </c>
      <c r="G137" s="96" t="s">
        <v>150</v>
      </c>
      <c r="H137" s="96" t="s">
        <v>151</v>
      </c>
      <c r="I137" s="99" t="s">
        <v>9</v>
      </c>
      <c r="J137" s="97"/>
      <c r="K137" s="98"/>
      <c r="L137" s="99"/>
      <c r="M137" s="99"/>
      <c r="N137" s="96" t="s">
        <v>152</v>
      </c>
      <c r="O137" s="100"/>
      <c r="P137" s="69">
        <v>50000000</v>
      </c>
      <c r="Q137" s="92"/>
      <c r="R137" s="202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9"/>
        <v>135</v>
      </c>
      <c r="C138" s="62" t="s">
        <v>141</v>
      </c>
      <c r="D138" s="67">
        <v>42717</v>
      </c>
      <c r="E138" s="192" t="s">
        <v>21</v>
      </c>
      <c r="F138" s="96" t="s">
        <v>128</v>
      </c>
      <c r="G138" s="96" t="s">
        <v>296</v>
      </c>
      <c r="H138" s="96" t="s">
        <v>126</v>
      </c>
      <c r="I138" s="94" t="s">
        <v>9</v>
      </c>
      <c r="J138" s="66"/>
      <c r="K138" s="67"/>
      <c r="L138" s="65"/>
      <c r="M138" s="65"/>
      <c r="N138" s="64" t="s">
        <v>166</v>
      </c>
      <c r="O138" s="68">
        <v>71000</v>
      </c>
      <c r="P138" s="69"/>
      <c r="Q138" s="92"/>
      <c r="R138" s="202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9"/>
        <v>136</v>
      </c>
      <c r="C139" s="62" t="s">
        <v>141</v>
      </c>
      <c r="D139" s="67">
        <v>42718</v>
      </c>
      <c r="E139" s="192" t="s">
        <v>21</v>
      </c>
      <c r="F139" s="64" t="s">
        <v>383</v>
      </c>
      <c r="G139" s="64" t="s">
        <v>384</v>
      </c>
      <c r="H139" s="64" t="s">
        <v>385</v>
      </c>
      <c r="I139" s="65" t="s">
        <v>386</v>
      </c>
      <c r="J139" s="66"/>
      <c r="K139" s="67"/>
      <c r="L139" s="65"/>
      <c r="M139" s="65"/>
      <c r="N139" s="64" t="s">
        <v>387</v>
      </c>
      <c r="O139" s="68"/>
      <c r="P139" s="69">
        <v>1443000000</v>
      </c>
      <c r="Q139" s="92"/>
      <c r="R139" s="202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9"/>
        <v>137</v>
      </c>
      <c r="C140" s="62" t="s">
        <v>141</v>
      </c>
      <c r="D140" s="67">
        <v>42718</v>
      </c>
      <c r="E140" s="192" t="s">
        <v>22</v>
      </c>
      <c r="F140" s="64" t="s">
        <v>390</v>
      </c>
      <c r="G140" s="64" t="s">
        <v>391</v>
      </c>
      <c r="H140" s="64" t="s">
        <v>385</v>
      </c>
      <c r="I140" s="65" t="s">
        <v>386</v>
      </c>
      <c r="J140" s="66"/>
      <c r="K140" s="67"/>
      <c r="L140" s="65"/>
      <c r="M140" s="65"/>
      <c r="N140" s="96" t="s">
        <v>387</v>
      </c>
      <c r="O140" s="68"/>
      <c r="P140" s="69">
        <v>974415000</v>
      </c>
      <c r="Q140" s="92"/>
      <c r="R140" s="202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si="9"/>
        <v>138</v>
      </c>
      <c r="C141" s="62" t="s">
        <v>141</v>
      </c>
      <c r="D141" s="67">
        <v>42718</v>
      </c>
      <c r="E141" s="192" t="s">
        <v>23</v>
      </c>
      <c r="F141" s="64" t="s">
        <v>361</v>
      </c>
      <c r="G141" s="64" t="s">
        <v>362</v>
      </c>
      <c r="H141" s="64" t="s">
        <v>363</v>
      </c>
      <c r="I141" s="62" t="s">
        <v>9</v>
      </c>
      <c r="J141" s="66"/>
      <c r="K141" s="67"/>
      <c r="L141" s="65"/>
      <c r="M141" s="65"/>
      <c r="N141" s="64" t="s">
        <v>364</v>
      </c>
      <c r="O141" s="68"/>
      <c r="P141" s="69">
        <v>26948372</v>
      </c>
      <c r="Q141" s="92"/>
      <c r="R141" s="202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141</v>
      </c>
      <c r="D142" s="67">
        <v>42718</v>
      </c>
      <c r="E142" s="192" t="s">
        <v>24</v>
      </c>
      <c r="F142" s="64" t="s">
        <v>409</v>
      </c>
      <c r="G142" s="64" t="s">
        <v>410</v>
      </c>
      <c r="H142" s="64" t="s">
        <v>411</v>
      </c>
      <c r="I142" s="62" t="s">
        <v>9</v>
      </c>
      <c r="J142" s="66"/>
      <c r="K142" s="67"/>
      <c r="L142" s="65"/>
      <c r="M142" s="65"/>
      <c r="N142" s="64" t="s">
        <v>412</v>
      </c>
      <c r="O142" s="68"/>
      <c r="P142" s="69">
        <v>24884526</v>
      </c>
      <c r="Q142" s="92"/>
      <c r="R142" s="202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124</v>
      </c>
      <c r="D143" s="67">
        <v>42723</v>
      </c>
      <c r="E143" s="192" t="s">
        <v>21</v>
      </c>
      <c r="F143" s="96" t="s">
        <v>128</v>
      </c>
      <c r="G143" s="96" t="s">
        <v>127</v>
      </c>
      <c r="H143" s="96" t="s">
        <v>126</v>
      </c>
      <c r="I143" s="94" t="s">
        <v>9</v>
      </c>
      <c r="J143" s="97"/>
      <c r="K143" s="67"/>
      <c r="L143" s="65"/>
      <c r="M143" s="65"/>
      <c r="N143" s="64" t="s">
        <v>125</v>
      </c>
      <c r="O143" s="68">
        <v>291000</v>
      </c>
      <c r="P143" s="69"/>
      <c r="Q143" s="92"/>
      <c r="R143" s="202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0"/>
        <v>141</v>
      </c>
      <c r="C144" s="62" t="s">
        <v>124</v>
      </c>
      <c r="D144" s="67">
        <v>42723</v>
      </c>
      <c r="E144" s="192" t="s">
        <v>22</v>
      </c>
      <c r="F144" s="96" t="s">
        <v>129</v>
      </c>
      <c r="G144" s="96" t="s">
        <v>130</v>
      </c>
      <c r="H144" s="96" t="s">
        <v>126</v>
      </c>
      <c r="I144" s="94" t="s">
        <v>9</v>
      </c>
      <c r="J144" s="66"/>
      <c r="K144" s="67"/>
      <c r="L144" s="65"/>
      <c r="M144" s="65"/>
      <c r="N144" s="96" t="s">
        <v>387</v>
      </c>
      <c r="O144" s="68"/>
      <c r="P144" s="69">
        <v>2078000000</v>
      </c>
      <c r="Q144" s="92"/>
      <c r="R144" s="202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0"/>
        <v>142</v>
      </c>
      <c r="C145" s="62" t="s">
        <v>124</v>
      </c>
      <c r="D145" s="67">
        <v>42723</v>
      </c>
      <c r="E145" s="192" t="s">
        <v>23</v>
      </c>
      <c r="F145" s="64" t="s">
        <v>383</v>
      </c>
      <c r="G145" s="64" t="s">
        <v>384</v>
      </c>
      <c r="H145" s="64" t="s">
        <v>385</v>
      </c>
      <c r="I145" s="65" t="s">
        <v>386</v>
      </c>
      <c r="J145" s="66"/>
      <c r="K145" s="67"/>
      <c r="L145" s="65"/>
      <c r="M145" s="65"/>
      <c r="N145" s="64" t="s">
        <v>387</v>
      </c>
      <c r="O145" s="68"/>
      <c r="P145" s="69">
        <v>1050504000</v>
      </c>
      <c r="Q145" s="92"/>
      <c r="R145" s="202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0"/>
        <v>143</v>
      </c>
      <c r="C146" s="62" t="s">
        <v>124</v>
      </c>
      <c r="D146" s="67">
        <v>42723</v>
      </c>
      <c r="E146" s="192" t="s">
        <v>24</v>
      </c>
      <c r="F146" s="64" t="s">
        <v>89</v>
      </c>
      <c r="G146" s="64" t="s">
        <v>90</v>
      </c>
      <c r="H146" s="64" t="s">
        <v>91</v>
      </c>
      <c r="I146" s="65" t="s">
        <v>33</v>
      </c>
      <c r="J146" s="66"/>
      <c r="K146" s="67"/>
      <c r="L146" s="65"/>
      <c r="M146" s="65"/>
      <c r="N146" s="64" t="s">
        <v>92</v>
      </c>
      <c r="O146" s="68"/>
      <c r="P146" s="69">
        <v>80000000</v>
      </c>
      <c r="Q146" s="92"/>
      <c r="R146" s="202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0"/>
        <v>144</v>
      </c>
      <c r="C147" s="62" t="s">
        <v>124</v>
      </c>
      <c r="D147" s="67">
        <v>42723</v>
      </c>
      <c r="E147" s="192" t="s">
        <v>82</v>
      </c>
      <c r="F147" s="64" t="s">
        <v>34</v>
      </c>
      <c r="G147" s="64" t="s">
        <v>30</v>
      </c>
      <c r="H147" s="64" t="s">
        <v>31</v>
      </c>
      <c r="I147" s="65" t="s">
        <v>33</v>
      </c>
      <c r="J147" s="66"/>
      <c r="K147" s="67"/>
      <c r="L147" s="65"/>
      <c r="M147" s="65"/>
      <c r="N147" s="64" t="s">
        <v>418</v>
      </c>
      <c r="O147" s="68"/>
      <c r="P147" s="69">
        <v>32679900</v>
      </c>
      <c r="Q147" s="92"/>
      <c r="R147" s="202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ref="B148:B149" si="10">IF(C148&lt;&gt;"",ROW()-3,"")</f>
        <v>145</v>
      </c>
      <c r="C148" s="62" t="s">
        <v>124</v>
      </c>
      <c r="D148" s="67">
        <v>42725</v>
      </c>
      <c r="E148" s="192" t="s">
        <v>21</v>
      </c>
      <c r="F148" s="96" t="s">
        <v>128</v>
      </c>
      <c r="G148" s="96" t="s">
        <v>127</v>
      </c>
      <c r="H148" s="96" t="s">
        <v>126</v>
      </c>
      <c r="I148" s="94" t="s">
        <v>9</v>
      </c>
      <c r="J148" s="97"/>
      <c r="K148" s="67"/>
      <c r="L148" s="65"/>
      <c r="M148" s="65"/>
      <c r="N148" s="64" t="s">
        <v>125</v>
      </c>
      <c r="O148" s="68">
        <v>281500</v>
      </c>
      <c r="P148" s="69"/>
      <c r="Q148" s="92"/>
      <c r="R148" s="202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10"/>
        <v>146</v>
      </c>
      <c r="C149" s="62" t="s">
        <v>124</v>
      </c>
      <c r="D149" s="67">
        <v>42725</v>
      </c>
      <c r="E149" s="192" t="s">
        <v>22</v>
      </c>
      <c r="F149" s="96" t="s">
        <v>129</v>
      </c>
      <c r="G149" s="96" t="s">
        <v>130</v>
      </c>
      <c r="H149" s="96" t="s">
        <v>126</v>
      </c>
      <c r="I149" s="94" t="s">
        <v>9</v>
      </c>
      <c r="J149" s="66"/>
      <c r="K149" s="67"/>
      <c r="L149" s="65"/>
      <c r="M149" s="65"/>
      <c r="N149" s="96" t="s">
        <v>387</v>
      </c>
      <c r="O149" s="68"/>
      <c r="P149" s="69">
        <v>2010000000</v>
      </c>
      <c r="Q149" s="92"/>
      <c r="R149" s="202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124</v>
      </c>
      <c r="D150" s="67">
        <v>42726</v>
      </c>
      <c r="E150" s="192" t="s">
        <v>21</v>
      </c>
      <c r="F150" s="64" t="s">
        <v>383</v>
      </c>
      <c r="G150" s="64" t="s">
        <v>423</v>
      </c>
      <c r="H150" s="64" t="s">
        <v>385</v>
      </c>
      <c r="I150" s="65" t="s">
        <v>386</v>
      </c>
      <c r="J150" s="66"/>
      <c r="K150" s="67"/>
      <c r="L150" s="65"/>
      <c r="M150" s="65"/>
      <c r="N150" s="64" t="s">
        <v>387</v>
      </c>
      <c r="O150" s="68"/>
      <c r="P150" s="69">
        <v>1477840000</v>
      </c>
      <c r="Q150" s="92"/>
      <c r="R150" s="202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124</v>
      </c>
      <c r="D151" s="67">
        <v>42726</v>
      </c>
      <c r="E151" s="192" t="s">
        <v>22</v>
      </c>
      <c r="F151" s="64" t="s">
        <v>390</v>
      </c>
      <c r="G151" s="64" t="s">
        <v>391</v>
      </c>
      <c r="H151" s="64" t="s">
        <v>385</v>
      </c>
      <c r="I151" s="65" t="s">
        <v>386</v>
      </c>
      <c r="J151" s="66"/>
      <c r="K151" s="67"/>
      <c r="L151" s="65"/>
      <c r="M151" s="65"/>
      <c r="N151" s="96" t="s">
        <v>387</v>
      </c>
      <c r="O151" s="68"/>
      <c r="P151" s="69">
        <v>876993000</v>
      </c>
      <c r="Q151" s="92"/>
      <c r="R151" s="202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102</v>
      </c>
      <c r="D152" s="67">
        <v>42726</v>
      </c>
      <c r="E152" s="192" t="s">
        <v>23</v>
      </c>
      <c r="F152" s="96" t="s">
        <v>128</v>
      </c>
      <c r="G152" s="96" t="s">
        <v>127</v>
      </c>
      <c r="H152" s="96" t="s">
        <v>126</v>
      </c>
      <c r="I152" s="94" t="s">
        <v>9</v>
      </c>
      <c r="J152" s="97"/>
      <c r="K152" s="98"/>
      <c r="L152" s="65"/>
      <c r="M152" s="65"/>
      <c r="N152" s="64" t="s">
        <v>131</v>
      </c>
      <c r="O152" s="68"/>
      <c r="P152" s="69">
        <v>100000000</v>
      </c>
      <c r="Q152" s="92"/>
      <c r="R152" s="202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124</v>
      </c>
      <c r="D153" s="67">
        <v>42730</v>
      </c>
      <c r="E153" s="192" t="s">
        <v>21</v>
      </c>
      <c r="F153" s="96" t="s">
        <v>128</v>
      </c>
      <c r="G153" s="96" t="s">
        <v>127</v>
      </c>
      <c r="H153" s="96" t="s">
        <v>126</v>
      </c>
      <c r="I153" s="94" t="s">
        <v>9</v>
      </c>
      <c r="J153" s="97"/>
      <c r="K153" s="67"/>
      <c r="L153" s="65"/>
      <c r="M153" s="65"/>
      <c r="N153" s="64" t="s">
        <v>125</v>
      </c>
      <c r="O153" s="68">
        <v>282400</v>
      </c>
      <c r="P153" s="69"/>
      <c r="Q153" s="92"/>
      <c r="R153" s="202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124</v>
      </c>
      <c r="D154" s="67">
        <v>42730</v>
      </c>
      <c r="E154" s="192" t="s">
        <v>22</v>
      </c>
      <c r="F154" s="96" t="s">
        <v>129</v>
      </c>
      <c r="G154" s="96" t="s">
        <v>130</v>
      </c>
      <c r="H154" s="96" t="s">
        <v>126</v>
      </c>
      <c r="I154" s="94" t="s">
        <v>9</v>
      </c>
      <c r="J154" s="66"/>
      <c r="K154" s="67"/>
      <c r="L154" s="65"/>
      <c r="M154" s="65"/>
      <c r="N154" s="96" t="s">
        <v>387</v>
      </c>
      <c r="O154" s="68"/>
      <c r="P154" s="69">
        <v>2010000000</v>
      </c>
      <c r="Q154" s="92"/>
      <c r="R154" s="202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102</v>
      </c>
      <c r="D155" s="67">
        <v>42730</v>
      </c>
      <c r="E155" s="192" t="s">
        <v>23</v>
      </c>
      <c r="F155" s="64" t="s">
        <v>419</v>
      </c>
      <c r="G155" s="64" t="s">
        <v>420</v>
      </c>
      <c r="H155" s="64" t="s">
        <v>421</v>
      </c>
      <c r="I155" s="99" t="s">
        <v>156</v>
      </c>
      <c r="J155" s="66"/>
      <c r="K155" s="67"/>
      <c r="L155" s="65"/>
      <c r="M155" s="65"/>
      <c r="N155" s="64" t="s">
        <v>422</v>
      </c>
      <c r="O155" s="68"/>
      <c r="P155" s="69">
        <v>50790000</v>
      </c>
      <c r="Q155" s="92"/>
      <c r="R155" s="202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si="0"/>
        <v>153</v>
      </c>
      <c r="C156" s="62" t="s">
        <v>102</v>
      </c>
      <c r="D156" s="67">
        <v>42730</v>
      </c>
      <c r="E156" s="192" t="s">
        <v>24</v>
      </c>
      <c r="F156" s="64" t="s">
        <v>200</v>
      </c>
      <c r="G156" s="64" t="s">
        <v>201</v>
      </c>
      <c r="H156" s="64" t="s">
        <v>163</v>
      </c>
      <c r="I156" s="99" t="s">
        <v>156</v>
      </c>
      <c r="J156" s="66"/>
      <c r="K156" s="67"/>
      <c r="L156" s="65"/>
      <c r="M156" s="65"/>
      <c r="N156" s="64" t="s">
        <v>202</v>
      </c>
      <c r="O156" s="68"/>
      <c r="P156" s="69">
        <v>50000000</v>
      </c>
      <c r="Q156" s="92"/>
      <c r="R156" s="202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0"/>
        <v>154</v>
      </c>
      <c r="C157" s="62" t="s">
        <v>102</v>
      </c>
      <c r="D157" s="67">
        <v>42730</v>
      </c>
      <c r="E157" s="192" t="s">
        <v>82</v>
      </c>
      <c r="F157" s="64" t="s">
        <v>162</v>
      </c>
      <c r="G157" s="64" t="s">
        <v>198</v>
      </c>
      <c r="H157" s="64" t="s">
        <v>163</v>
      </c>
      <c r="I157" s="99" t="s">
        <v>156</v>
      </c>
      <c r="J157" s="66"/>
      <c r="K157" s="67"/>
      <c r="L157" s="65"/>
      <c r="M157" s="65"/>
      <c r="N157" s="104" t="s">
        <v>424</v>
      </c>
      <c r="O157" s="68"/>
      <c r="P157" s="69">
        <f>33844250+37943950</f>
        <v>71788200</v>
      </c>
      <c r="Q157" s="92"/>
      <c r="R157" s="202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0"/>
        <v>155</v>
      </c>
      <c r="C158" s="62" t="s">
        <v>124</v>
      </c>
      <c r="D158" s="67">
        <v>42730</v>
      </c>
      <c r="E158" s="192" t="s">
        <v>83</v>
      </c>
      <c r="F158" s="64" t="s">
        <v>34</v>
      </c>
      <c r="G158" s="64" t="s">
        <v>30</v>
      </c>
      <c r="H158" s="64" t="s">
        <v>31</v>
      </c>
      <c r="I158" s="65" t="s">
        <v>33</v>
      </c>
      <c r="J158" s="66"/>
      <c r="K158" s="67"/>
      <c r="L158" s="65"/>
      <c r="M158" s="65"/>
      <c r="N158" s="64" t="s">
        <v>425</v>
      </c>
      <c r="O158" s="68"/>
      <c r="P158" s="69">
        <v>30963350</v>
      </c>
      <c r="Q158" s="92"/>
      <c r="R158" s="202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0"/>
        <v>156</v>
      </c>
      <c r="C159" s="62" t="s">
        <v>124</v>
      </c>
      <c r="D159" s="67">
        <v>42730</v>
      </c>
      <c r="E159" s="192" t="s">
        <v>167</v>
      </c>
      <c r="F159" s="64" t="s">
        <v>383</v>
      </c>
      <c r="G159" s="64" t="s">
        <v>384</v>
      </c>
      <c r="H159" s="64" t="s">
        <v>385</v>
      </c>
      <c r="I159" s="65" t="s">
        <v>386</v>
      </c>
      <c r="J159" s="66"/>
      <c r="K159" s="67"/>
      <c r="L159" s="65"/>
      <c r="M159" s="65"/>
      <c r="N159" s="64" t="s">
        <v>387</v>
      </c>
      <c r="O159" s="68"/>
      <c r="P159" s="69">
        <v>218400000</v>
      </c>
      <c r="Q159" s="92"/>
      <c r="R159" s="202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0"/>
        <v>157</v>
      </c>
      <c r="C160" s="62" t="s">
        <v>124</v>
      </c>
      <c r="D160" s="67">
        <v>42730</v>
      </c>
      <c r="E160" s="192" t="s">
        <v>217</v>
      </c>
      <c r="F160" s="64" t="s">
        <v>413</v>
      </c>
      <c r="G160" s="64" t="s">
        <v>414</v>
      </c>
      <c r="H160" s="64" t="s">
        <v>415</v>
      </c>
      <c r="I160" s="62" t="s">
        <v>9</v>
      </c>
      <c r="J160" s="66"/>
      <c r="K160" s="67"/>
      <c r="L160" s="65"/>
      <c r="M160" s="65"/>
      <c r="N160" s="64" t="s">
        <v>172</v>
      </c>
      <c r="O160" s="68"/>
      <c r="P160" s="69">
        <v>100000000</v>
      </c>
      <c r="Q160" s="92"/>
      <c r="R160" s="202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0"/>
        <v>158</v>
      </c>
      <c r="C161" s="62" t="s">
        <v>102</v>
      </c>
      <c r="D161" s="67">
        <v>42734</v>
      </c>
      <c r="E161" s="192" t="s">
        <v>21</v>
      </c>
      <c r="F161" s="64" t="s">
        <v>350</v>
      </c>
      <c r="G161" s="64" t="s">
        <v>351</v>
      </c>
      <c r="H161" s="64" t="s">
        <v>352</v>
      </c>
      <c r="I161" s="99" t="s">
        <v>156</v>
      </c>
      <c r="J161" s="66"/>
      <c r="K161" s="67"/>
      <c r="L161" s="65"/>
      <c r="M161" s="65"/>
      <c r="N161" s="64" t="s">
        <v>354</v>
      </c>
      <c r="O161" s="68"/>
      <c r="P161" s="69">
        <v>100000000</v>
      </c>
      <c r="Q161" s="92"/>
      <c r="R161" s="202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0"/>
        <v>159</v>
      </c>
      <c r="C162" s="62" t="s">
        <v>141</v>
      </c>
      <c r="D162" s="67">
        <v>42734</v>
      </c>
      <c r="E162" s="192" t="s">
        <v>22</v>
      </c>
      <c r="F162" s="96" t="s">
        <v>128</v>
      </c>
      <c r="G162" s="96" t="s">
        <v>296</v>
      </c>
      <c r="H162" s="96" t="s">
        <v>126</v>
      </c>
      <c r="I162" s="94" t="s">
        <v>9</v>
      </c>
      <c r="J162" s="66"/>
      <c r="K162" s="67"/>
      <c r="L162" s="65"/>
      <c r="M162" s="65"/>
      <c r="N162" s="64" t="s">
        <v>166</v>
      </c>
      <c r="O162" s="68">
        <v>204500</v>
      </c>
      <c r="P162" s="69"/>
      <c r="Q162" s="92"/>
      <c r="R162" s="202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0"/>
        <v>160</v>
      </c>
      <c r="C163" s="62" t="s">
        <v>124</v>
      </c>
      <c r="D163" s="67">
        <v>42734</v>
      </c>
      <c r="E163" s="192" t="s">
        <v>23</v>
      </c>
      <c r="F163" s="96" t="s">
        <v>128</v>
      </c>
      <c r="G163" s="96" t="s">
        <v>127</v>
      </c>
      <c r="H163" s="96" t="s">
        <v>126</v>
      </c>
      <c r="I163" s="94" t="s">
        <v>9</v>
      </c>
      <c r="J163" s="97"/>
      <c r="K163" s="67"/>
      <c r="L163" s="65"/>
      <c r="M163" s="65"/>
      <c r="N163" s="64" t="s">
        <v>125</v>
      </c>
      <c r="O163" s="68">
        <v>204500</v>
      </c>
      <c r="P163" s="69"/>
      <c r="Q163" s="92"/>
      <c r="R163" s="202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0"/>
        <v>161</v>
      </c>
      <c r="C164" s="62" t="s">
        <v>124</v>
      </c>
      <c r="D164" s="67">
        <v>42735</v>
      </c>
      <c r="E164" s="192" t="s">
        <v>24</v>
      </c>
      <c r="F164" s="64" t="s">
        <v>383</v>
      </c>
      <c r="G164" s="64" t="s">
        <v>423</v>
      </c>
      <c r="H164" s="64" t="s">
        <v>385</v>
      </c>
      <c r="I164" s="65" t="s">
        <v>386</v>
      </c>
      <c r="J164" s="66"/>
      <c r="K164" s="67"/>
      <c r="L164" s="65"/>
      <c r="M164" s="65"/>
      <c r="N164" s="64" t="s">
        <v>387</v>
      </c>
      <c r="O164" s="68"/>
      <c r="P164" s="69">
        <v>1491035000</v>
      </c>
      <c r="Q164" s="92"/>
      <c r="R164" s="202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0"/>
        <v>162</v>
      </c>
      <c r="C165" s="62" t="s">
        <v>141</v>
      </c>
      <c r="D165" s="67">
        <v>42737</v>
      </c>
      <c r="E165" s="192" t="s">
        <v>21</v>
      </c>
      <c r="F165" s="195" t="s">
        <v>308</v>
      </c>
      <c r="G165" s="195" t="s">
        <v>309</v>
      </c>
      <c r="H165" s="195" t="s">
        <v>310</v>
      </c>
      <c r="I165" s="194" t="s">
        <v>9</v>
      </c>
      <c r="J165" s="196"/>
      <c r="K165" s="193"/>
      <c r="L165" s="194"/>
      <c r="M165" s="194"/>
      <c r="N165" s="195" t="s">
        <v>311</v>
      </c>
      <c r="O165" s="197"/>
      <c r="P165" s="69">
        <v>29738500</v>
      </c>
      <c r="Q165" s="92"/>
      <c r="R165" s="202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si="0"/>
        <v>163</v>
      </c>
      <c r="C166" s="62" t="s">
        <v>141</v>
      </c>
      <c r="D166" s="67">
        <v>42737</v>
      </c>
      <c r="E166" s="192" t="s">
        <v>22</v>
      </c>
      <c r="F166" s="64" t="s">
        <v>93</v>
      </c>
      <c r="G166" s="71" t="s">
        <v>96</v>
      </c>
      <c r="H166" s="64" t="s">
        <v>94</v>
      </c>
      <c r="I166" s="62" t="s">
        <v>9</v>
      </c>
      <c r="J166" s="66"/>
      <c r="K166" s="67"/>
      <c r="L166" s="65"/>
      <c r="M166" s="65"/>
      <c r="N166" s="64" t="s">
        <v>95</v>
      </c>
      <c r="O166" s="68"/>
      <c r="P166" s="69">
        <v>36960000</v>
      </c>
      <c r="Q166" s="92"/>
      <c r="R166" s="202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0"/>
        <v>164</v>
      </c>
      <c r="C167" s="62" t="s">
        <v>141</v>
      </c>
      <c r="D167" s="67">
        <v>42741</v>
      </c>
      <c r="E167" s="192" t="s">
        <v>21</v>
      </c>
      <c r="F167" s="96" t="s">
        <v>128</v>
      </c>
      <c r="G167" s="96" t="s">
        <v>296</v>
      </c>
      <c r="H167" s="96" t="s">
        <v>126</v>
      </c>
      <c r="I167" s="94" t="s">
        <v>9</v>
      </c>
      <c r="J167" s="66"/>
      <c r="K167" s="67"/>
      <c r="L167" s="65"/>
      <c r="M167" s="65"/>
      <c r="N167" s="64" t="s">
        <v>166</v>
      </c>
      <c r="O167" s="68">
        <v>43500</v>
      </c>
      <c r="P167" s="69"/>
      <c r="Q167" s="92"/>
      <c r="R167" s="202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>IF(C168&lt;&gt;"",ROW()-3,"")</f>
        <v>165</v>
      </c>
      <c r="C168" s="62" t="s">
        <v>124</v>
      </c>
      <c r="D168" s="67">
        <v>42744</v>
      </c>
      <c r="E168" s="192" t="s">
        <v>21</v>
      </c>
      <c r="F168" s="64" t="s">
        <v>173</v>
      </c>
      <c r="G168" s="71" t="s">
        <v>174</v>
      </c>
      <c r="H168" s="64" t="s">
        <v>175</v>
      </c>
      <c r="I168" s="94" t="s">
        <v>9</v>
      </c>
      <c r="J168" s="66"/>
      <c r="K168" s="67"/>
      <c r="L168" s="65"/>
      <c r="M168" s="65"/>
      <c r="N168" s="64" t="s">
        <v>443</v>
      </c>
      <c r="O168" s="68"/>
      <c r="P168" s="69">
        <v>1170000</v>
      </c>
      <c r="Q168" s="92"/>
      <c r="R168" s="202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>IF(C169&lt;&gt;"",ROW()-3,"")</f>
        <v>166</v>
      </c>
      <c r="C169" s="62" t="s">
        <v>124</v>
      </c>
      <c r="D169" s="67">
        <v>42744</v>
      </c>
      <c r="E169" s="192" t="s">
        <v>22</v>
      </c>
      <c r="F169" s="64" t="s">
        <v>173</v>
      </c>
      <c r="G169" s="71" t="s">
        <v>176</v>
      </c>
      <c r="H169" s="64" t="s">
        <v>177</v>
      </c>
      <c r="I169" s="94" t="s">
        <v>9</v>
      </c>
      <c r="J169" s="66"/>
      <c r="K169" s="67"/>
      <c r="L169" s="65"/>
      <c r="M169" s="65"/>
      <c r="N169" s="64" t="s">
        <v>443</v>
      </c>
      <c r="O169" s="68"/>
      <c r="P169" s="69">
        <f>7825000-810000</f>
        <v>7015000</v>
      </c>
      <c r="Q169" s="92"/>
      <c r="R169" s="202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0"/>
        <v>167</v>
      </c>
      <c r="C170" s="62" t="s">
        <v>124</v>
      </c>
      <c r="D170" s="67">
        <v>42744</v>
      </c>
      <c r="E170" s="192" t="s">
        <v>23</v>
      </c>
      <c r="F170" s="64" t="s">
        <v>383</v>
      </c>
      <c r="G170" s="64" t="s">
        <v>423</v>
      </c>
      <c r="H170" s="64" t="s">
        <v>385</v>
      </c>
      <c r="I170" s="65" t="s">
        <v>386</v>
      </c>
      <c r="J170" s="66"/>
      <c r="K170" s="67"/>
      <c r="L170" s="65"/>
      <c r="M170" s="65"/>
      <c r="N170" s="64" t="s">
        <v>387</v>
      </c>
      <c r="O170" s="68"/>
      <c r="P170" s="69">
        <v>329056000</v>
      </c>
      <c r="Q170" s="92"/>
      <c r="R170" s="202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ref="B171" si="11">IF(C171&lt;&gt;"",ROW()-3,"")</f>
        <v>168</v>
      </c>
      <c r="C171" s="62" t="s">
        <v>141</v>
      </c>
      <c r="D171" s="67">
        <v>42746</v>
      </c>
      <c r="E171" s="192" t="s">
        <v>21</v>
      </c>
      <c r="F171" s="96" t="s">
        <v>129</v>
      </c>
      <c r="G171" s="96" t="s">
        <v>130</v>
      </c>
      <c r="H171" s="96" t="s">
        <v>126</v>
      </c>
      <c r="I171" s="94" t="s">
        <v>9</v>
      </c>
      <c r="J171" s="66"/>
      <c r="K171" s="67"/>
      <c r="L171" s="65"/>
      <c r="M171" s="65"/>
      <c r="N171" s="96" t="s">
        <v>387</v>
      </c>
      <c r="O171" s="68"/>
      <c r="P171" s="69">
        <v>6650000000</v>
      </c>
      <c r="Q171" s="92"/>
      <c r="R171" s="202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185" si="12">IF(C172&lt;&gt;"",ROW()-3,"")</f>
        <v>169</v>
      </c>
      <c r="C172" s="62" t="s">
        <v>102</v>
      </c>
      <c r="D172" s="67">
        <v>42752</v>
      </c>
      <c r="E172" s="192" t="s">
        <v>21</v>
      </c>
      <c r="F172" s="64" t="s">
        <v>448</v>
      </c>
      <c r="G172" s="64" t="s">
        <v>446</v>
      </c>
      <c r="H172" s="64" t="s">
        <v>224</v>
      </c>
      <c r="I172" s="65" t="s">
        <v>447</v>
      </c>
      <c r="J172" s="66"/>
      <c r="K172" s="67"/>
      <c r="L172" s="65"/>
      <c r="M172" s="65"/>
      <c r="N172" s="64" t="s">
        <v>449</v>
      </c>
      <c r="O172" s="68"/>
      <c r="P172" s="69">
        <v>40874000</v>
      </c>
      <c r="Q172" s="92"/>
      <c r="R172" s="202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102</v>
      </c>
      <c r="D173" s="67">
        <v>42752</v>
      </c>
      <c r="E173" s="192" t="s">
        <v>22</v>
      </c>
      <c r="F173" s="64" t="s">
        <v>162</v>
      </c>
      <c r="G173" s="64" t="s">
        <v>198</v>
      </c>
      <c r="H173" s="64" t="s">
        <v>163</v>
      </c>
      <c r="I173" s="99" t="s">
        <v>156</v>
      </c>
      <c r="J173" s="66"/>
      <c r="K173" s="67"/>
      <c r="L173" s="65"/>
      <c r="M173" s="65"/>
      <c r="N173" s="104" t="s">
        <v>450</v>
      </c>
      <c r="O173" s="68"/>
      <c r="P173" s="69">
        <v>37045140</v>
      </c>
      <c r="Q173" s="92"/>
      <c r="R173" s="202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102</v>
      </c>
      <c r="D174" s="67">
        <v>42752</v>
      </c>
      <c r="E174" s="192" t="s">
        <v>23</v>
      </c>
      <c r="F174" s="64" t="s">
        <v>451</v>
      </c>
      <c r="G174" s="64" t="s">
        <v>452</v>
      </c>
      <c r="H174" s="64" t="s">
        <v>453</v>
      </c>
      <c r="I174" s="65" t="s">
        <v>454</v>
      </c>
      <c r="J174" s="66"/>
      <c r="K174" s="67"/>
      <c r="L174" s="65"/>
      <c r="M174" s="65"/>
      <c r="N174" s="64" t="s">
        <v>387</v>
      </c>
      <c r="O174" s="68"/>
      <c r="P174" s="69">
        <v>65351500</v>
      </c>
      <c r="Q174" s="92"/>
      <c r="R174" s="202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>IF(C175&lt;&gt;"",ROW()-3,"")</f>
        <v>172</v>
      </c>
      <c r="C175" s="62" t="s">
        <v>141</v>
      </c>
      <c r="D175" s="67">
        <v>42754</v>
      </c>
      <c r="E175" s="192" t="s">
        <v>21</v>
      </c>
      <c r="F175" s="64" t="s">
        <v>34</v>
      </c>
      <c r="G175" s="64" t="s">
        <v>30</v>
      </c>
      <c r="H175" s="64" t="s">
        <v>31</v>
      </c>
      <c r="I175" s="65" t="s">
        <v>33</v>
      </c>
      <c r="J175" s="66"/>
      <c r="K175" s="67"/>
      <c r="L175" s="65"/>
      <c r="M175" s="65"/>
      <c r="N175" s="64" t="s">
        <v>444</v>
      </c>
      <c r="O175" s="68"/>
      <c r="P175" s="69">
        <v>31261560</v>
      </c>
      <c r="Q175" s="92"/>
      <c r="R175" s="202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ht="18.75" customHeight="1">
      <c r="A176" s="55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62">
        <f>IF(C176&lt;&gt;"",ROW()-3,"")</f>
        <v>173</v>
      </c>
      <c r="C176" s="62" t="s">
        <v>141</v>
      </c>
      <c r="D176" s="67">
        <v>42754</v>
      </c>
      <c r="E176" s="192" t="s">
        <v>22</v>
      </c>
      <c r="F176" s="64" t="s">
        <v>173</v>
      </c>
      <c r="G176" s="71" t="s">
        <v>174</v>
      </c>
      <c r="H176" s="64" t="s">
        <v>455</v>
      </c>
      <c r="I176" s="94" t="s">
        <v>9</v>
      </c>
      <c r="J176" s="66"/>
      <c r="K176" s="67"/>
      <c r="L176" s="65"/>
      <c r="M176" s="65"/>
      <c r="N176" s="64" t="s">
        <v>445</v>
      </c>
      <c r="O176" s="68"/>
      <c r="P176" s="69">
        <v>1560000</v>
      </c>
      <c r="Q176" s="92"/>
      <c r="R176" s="202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ht="18.75" customHeight="1">
      <c r="A177" s="55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62">
        <f>IF(C177&lt;&gt;"",ROW()-3,"")</f>
        <v>174</v>
      </c>
      <c r="C177" s="62" t="s">
        <v>141</v>
      </c>
      <c r="D177" s="67">
        <v>42754</v>
      </c>
      <c r="E177" s="192" t="s">
        <v>23</v>
      </c>
      <c r="F177" s="64" t="s">
        <v>173</v>
      </c>
      <c r="G177" s="71" t="s">
        <v>176</v>
      </c>
      <c r="H177" s="64" t="s">
        <v>177</v>
      </c>
      <c r="I177" s="94" t="s">
        <v>9</v>
      </c>
      <c r="J177" s="66"/>
      <c r="K177" s="67"/>
      <c r="L177" s="65"/>
      <c r="M177" s="65"/>
      <c r="N177" s="64" t="s">
        <v>445</v>
      </c>
      <c r="O177" s="68"/>
      <c r="P177" s="69">
        <v>12985000</v>
      </c>
      <c r="Q177" s="92"/>
      <c r="R177" s="202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>IF(C178&lt;&gt;"",ROW()-3,"")</f>
        <v>175</v>
      </c>
      <c r="C178" s="62" t="s">
        <v>124</v>
      </c>
      <c r="D178" s="67">
        <v>42754</v>
      </c>
      <c r="E178" s="192" t="s">
        <v>24</v>
      </c>
      <c r="F178" s="64" t="s">
        <v>93</v>
      </c>
      <c r="G178" s="71" t="s">
        <v>96</v>
      </c>
      <c r="H178" s="64" t="s">
        <v>94</v>
      </c>
      <c r="I178" s="62" t="s">
        <v>9</v>
      </c>
      <c r="J178" s="66"/>
      <c r="K178" s="67"/>
      <c r="L178" s="65"/>
      <c r="M178" s="65"/>
      <c r="N178" s="64" t="s">
        <v>95</v>
      </c>
      <c r="O178" s="68"/>
      <c r="P178" s="69">
        <v>38500000</v>
      </c>
      <c r="Q178" s="92"/>
      <c r="R178" s="202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124</v>
      </c>
      <c r="D179" s="67">
        <v>42754</v>
      </c>
      <c r="E179" s="192" t="s">
        <v>82</v>
      </c>
      <c r="F179" s="64" t="s">
        <v>361</v>
      </c>
      <c r="G179" s="64" t="s">
        <v>362</v>
      </c>
      <c r="H179" s="64" t="s">
        <v>363</v>
      </c>
      <c r="I179" s="62" t="s">
        <v>9</v>
      </c>
      <c r="J179" s="66"/>
      <c r="K179" s="67"/>
      <c r="L179" s="65"/>
      <c r="M179" s="65"/>
      <c r="N179" s="64" t="s">
        <v>364</v>
      </c>
      <c r="O179" s="68"/>
      <c r="P179" s="69">
        <v>23710344</v>
      </c>
      <c r="Q179" s="92"/>
      <c r="R179" s="202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141</v>
      </c>
      <c r="D180" s="67">
        <v>42755</v>
      </c>
      <c r="E180" s="192" t="s">
        <v>21</v>
      </c>
      <c r="F180" s="96" t="s">
        <v>129</v>
      </c>
      <c r="G180" s="96" t="s">
        <v>130</v>
      </c>
      <c r="H180" s="96" t="s">
        <v>126</v>
      </c>
      <c r="I180" s="94" t="s">
        <v>9</v>
      </c>
      <c r="J180" s="66"/>
      <c r="K180" s="67"/>
      <c r="L180" s="65"/>
      <c r="M180" s="65"/>
      <c r="N180" s="96" t="s">
        <v>387</v>
      </c>
      <c r="O180" s="68"/>
      <c r="P180" s="69">
        <v>600000000</v>
      </c>
      <c r="Q180" s="92"/>
      <c r="R180" s="202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141</v>
      </c>
      <c r="D181" s="67">
        <v>42755</v>
      </c>
      <c r="E181" s="192" t="s">
        <v>22</v>
      </c>
      <c r="F181" s="64" t="s">
        <v>97</v>
      </c>
      <c r="G181" s="64" t="s">
        <v>98</v>
      </c>
      <c r="H181" s="64" t="s">
        <v>99</v>
      </c>
      <c r="I181" s="62" t="s">
        <v>9</v>
      </c>
      <c r="J181" s="66"/>
      <c r="K181" s="67"/>
      <c r="L181" s="65"/>
      <c r="M181" s="65"/>
      <c r="N181" s="64" t="s">
        <v>100</v>
      </c>
      <c r="O181" s="68"/>
      <c r="P181" s="69">
        <v>100000000</v>
      </c>
      <c r="Q181" s="92"/>
      <c r="R181" s="202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>IF(C182&lt;&gt;"",ROW()-3,"")</f>
        <v>179</v>
      </c>
      <c r="C182" s="62" t="s">
        <v>141</v>
      </c>
      <c r="D182" s="67">
        <v>42755</v>
      </c>
      <c r="E182" s="192" t="s">
        <v>24</v>
      </c>
      <c r="F182" s="96" t="s">
        <v>456</v>
      </c>
      <c r="G182" s="96" t="s">
        <v>457</v>
      </c>
      <c r="H182" s="96" t="s">
        <v>458</v>
      </c>
      <c r="I182" s="99" t="s">
        <v>9</v>
      </c>
      <c r="J182" s="97"/>
      <c r="K182" s="98"/>
      <c r="L182" s="99"/>
      <c r="M182" s="99"/>
      <c r="N182" s="96" t="s">
        <v>459</v>
      </c>
      <c r="O182" s="68"/>
      <c r="P182" s="69">
        <v>157080000</v>
      </c>
      <c r="Q182" s="92"/>
      <c r="R182" s="202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102</v>
      </c>
      <c r="D183" s="67">
        <v>42755</v>
      </c>
      <c r="E183" s="192" t="s">
        <v>23</v>
      </c>
      <c r="F183" s="96" t="s">
        <v>149</v>
      </c>
      <c r="G183" s="96" t="s">
        <v>150</v>
      </c>
      <c r="H183" s="96" t="s">
        <v>151</v>
      </c>
      <c r="I183" s="99" t="s">
        <v>9</v>
      </c>
      <c r="J183" s="97"/>
      <c r="K183" s="98"/>
      <c r="L183" s="99"/>
      <c r="M183" s="99"/>
      <c r="N183" s="96" t="s">
        <v>152</v>
      </c>
      <c r="O183" s="68"/>
      <c r="P183" s="69">
        <v>59355400</v>
      </c>
      <c r="Q183" s="92"/>
      <c r="R183" s="202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si="12"/>
        <v>181</v>
      </c>
      <c r="C184" s="62" t="s">
        <v>102</v>
      </c>
      <c r="D184" s="67">
        <v>42759</v>
      </c>
      <c r="E184" s="192" t="s">
        <v>21</v>
      </c>
      <c r="F184" s="96" t="s">
        <v>132</v>
      </c>
      <c r="G184" s="96" t="s">
        <v>133</v>
      </c>
      <c r="H184" s="96" t="s">
        <v>135</v>
      </c>
      <c r="I184" s="99" t="s">
        <v>134</v>
      </c>
      <c r="J184" s="97"/>
      <c r="K184" s="98"/>
      <c r="L184" s="99"/>
      <c r="M184" s="99"/>
      <c r="N184" s="96" t="s">
        <v>474</v>
      </c>
      <c r="O184" s="100"/>
      <c r="P184" s="101">
        <v>100000000</v>
      </c>
      <c r="Q184" s="92"/>
      <c r="R184" s="202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2"/>
        <v>182</v>
      </c>
      <c r="C185" s="62" t="s">
        <v>102</v>
      </c>
      <c r="D185" s="67">
        <v>42759</v>
      </c>
      <c r="E185" s="192" t="s">
        <v>22</v>
      </c>
      <c r="F185" s="64" t="s">
        <v>475</v>
      </c>
      <c r="G185" s="64" t="s">
        <v>476</v>
      </c>
      <c r="H185" s="64" t="s">
        <v>477</v>
      </c>
      <c r="I185" s="62" t="s">
        <v>9</v>
      </c>
      <c r="J185" s="66"/>
      <c r="K185" s="67"/>
      <c r="L185" s="65"/>
      <c r="M185" s="65"/>
      <c r="N185" s="64" t="s">
        <v>478</v>
      </c>
      <c r="O185" s="68"/>
      <c r="P185" s="101">
        <v>100000000</v>
      </c>
      <c r="Q185" s="92"/>
      <c r="R185" s="202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ref="B186:B195" si="13">IF(C186&lt;&gt;"",ROW()-3,"")</f>
        <v>183</v>
      </c>
      <c r="C186" s="62" t="s">
        <v>102</v>
      </c>
      <c r="D186" s="67">
        <v>42759</v>
      </c>
      <c r="E186" s="192" t="s">
        <v>23</v>
      </c>
      <c r="F186" s="64" t="s">
        <v>481</v>
      </c>
      <c r="G186" s="64" t="s">
        <v>482</v>
      </c>
      <c r="H186" s="64" t="s">
        <v>483</v>
      </c>
      <c r="I186" s="65" t="s">
        <v>183</v>
      </c>
      <c r="J186" s="66"/>
      <c r="K186" s="67"/>
      <c r="L186" s="65"/>
      <c r="M186" s="65"/>
      <c r="N186" s="96" t="s">
        <v>474</v>
      </c>
      <c r="O186" s="68"/>
      <c r="P186" s="101">
        <v>100000000</v>
      </c>
      <c r="Q186" s="92"/>
      <c r="R186" s="202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102</v>
      </c>
      <c r="D187" s="67">
        <v>42759</v>
      </c>
      <c r="E187" s="192" t="s">
        <v>24</v>
      </c>
      <c r="F187" s="64" t="s">
        <v>338</v>
      </c>
      <c r="G187" s="64" t="s">
        <v>339</v>
      </c>
      <c r="H187" s="64" t="s">
        <v>479</v>
      </c>
      <c r="I187" s="62" t="s">
        <v>9</v>
      </c>
      <c r="J187" s="66"/>
      <c r="K187" s="67"/>
      <c r="L187" s="65"/>
      <c r="M187" s="65"/>
      <c r="N187" s="64" t="s">
        <v>480</v>
      </c>
      <c r="O187" s="68"/>
      <c r="P187" s="69">
        <v>105612482</v>
      </c>
      <c r="Q187" s="92"/>
      <c r="R187" s="202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141</v>
      </c>
      <c r="D188" s="67">
        <v>42774</v>
      </c>
      <c r="E188" s="192" t="s">
        <v>21</v>
      </c>
      <c r="F188" s="96" t="s">
        <v>128</v>
      </c>
      <c r="G188" s="96" t="s">
        <v>296</v>
      </c>
      <c r="H188" s="96" t="s">
        <v>126</v>
      </c>
      <c r="I188" s="94" t="s">
        <v>9</v>
      </c>
      <c r="J188" s="66"/>
      <c r="K188" s="67"/>
      <c r="L188" s="65"/>
      <c r="M188" s="65"/>
      <c r="N188" s="64" t="s">
        <v>166</v>
      </c>
      <c r="O188" s="68">
        <v>53000</v>
      </c>
      <c r="P188" s="69"/>
      <c r="Q188" s="92"/>
      <c r="R188" s="202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124</v>
      </c>
      <c r="D189" s="67">
        <v>42779</v>
      </c>
      <c r="E189" s="192" t="s">
        <v>21</v>
      </c>
      <c r="F189" s="64" t="s">
        <v>34</v>
      </c>
      <c r="G189" s="64" t="s">
        <v>30</v>
      </c>
      <c r="H189" s="64" t="s">
        <v>31</v>
      </c>
      <c r="I189" s="65" t="s">
        <v>33</v>
      </c>
      <c r="J189" s="66"/>
      <c r="K189" s="67"/>
      <c r="L189" s="65"/>
      <c r="M189" s="65"/>
      <c r="N189" s="64" t="s">
        <v>485</v>
      </c>
      <c r="O189" s="68"/>
      <c r="P189" s="69">
        <v>66142120</v>
      </c>
      <c r="Q189" s="92"/>
      <c r="R189" s="202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141</v>
      </c>
      <c r="D190" s="67">
        <v>42779</v>
      </c>
      <c r="E190" s="192" t="s">
        <v>22</v>
      </c>
      <c r="F190" s="96" t="s">
        <v>129</v>
      </c>
      <c r="G190" s="96" t="s">
        <v>130</v>
      </c>
      <c r="H190" s="96" t="s">
        <v>126</v>
      </c>
      <c r="I190" s="94" t="s">
        <v>9</v>
      </c>
      <c r="J190" s="66"/>
      <c r="K190" s="67"/>
      <c r="L190" s="65"/>
      <c r="M190" s="65"/>
      <c r="N190" s="96" t="s">
        <v>387</v>
      </c>
      <c r="O190" s="68"/>
      <c r="P190" s="69">
        <v>6280000000</v>
      </c>
      <c r="Q190" s="92"/>
      <c r="R190" s="202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3"/>
        <v>188</v>
      </c>
      <c r="C191" s="62" t="s">
        <v>124</v>
      </c>
      <c r="D191" s="67">
        <v>42780</v>
      </c>
      <c r="E191" s="192" t="s">
        <v>21</v>
      </c>
      <c r="F191" s="64" t="s">
        <v>486</v>
      </c>
      <c r="G191" s="64" t="s">
        <v>487</v>
      </c>
      <c r="H191" s="64" t="s">
        <v>488</v>
      </c>
      <c r="I191" s="94" t="s">
        <v>9</v>
      </c>
      <c r="J191" s="66"/>
      <c r="K191" s="67"/>
      <c r="L191" s="65"/>
      <c r="M191" s="65"/>
      <c r="N191" s="64" t="s">
        <v>489</v>
      </c>
      <c r="O191" s="68"/>
      <c r="P191" s="69">
        <v>100000000</v>
      </c>
      <c r="Q191" s="92"/>
      <c r="R191" s="202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3"/>
        <v>189</v>
      </c>
      <c r="C192" s="62" t="s">
        <v>124</v>
      </c>
      <c r="D192" s="67">
        <v>42780</v>
      </c>
      <c r="E192" s="192" t="s">
        <v>22</v>
      </c>
      <c r="F192" s="64" t="s">
        <v>169</v>
      </c>
      <c r="G192" s="71" t="s">
        <v>170</v>
      </c>
      <c r="H192" s="64" t="s">
        <v>171</v>
      </c>
      <c r="I192" s="94" t="s">
        <v>9</v>
      </c>
      <c r="J192" s="66"/>
      <c r="K192" s="67"/>
      <c r="L192" s="65"/>
      <c r="M192" s="65"/>
      <c r="N192" s="64" t="s">
        <v>490</v>
      </c>
      <c r="O192" s="68"/>
      <c r="P192" s="69">
        <v>100000000</v>
      </c>
      <c r="Q192" s="92"/>
      <c r="R192" s="202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3"/>
        <v>190</v>
      </c>
      <c r="C193" s="62" t="s">
        <v>124</v>
      </c>
      <c r="D193" s="67">
        <v>42780</v>
      </c>
      <c r="E193" s="192" t="s">
        <v>23</v>
      </c>
      <c r="F193" s="96" t="s">
        <v>129</v>
      </c>
      <c r="G193" s="96" t="s">
        <v>130</v>
      </c>
      <c r="H193" s="96" t="s">
        <v>126</v>
      </c>
      <c r="I193" s="94" t="s">
        <v>9</v>
      </c>
      <c r="J193" s="66"/>
      <c r="K193" s="67"/>
      <c r="L193" s="65"/>
      <c r="M193" s="65"/>
      <c r="N193" s="96" t="s">
        <v>387</v>
      </c>
      <c r="O193" s="68"/>
      <c r="P193" s="69">
        <v>180000000</v>
      </c>
      <c r="Q193" s="92"/>
      <c r="R193" s="202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3"/>
        <v>191</v>
      </c>
      <c r="C194" s="62" t="s">
        <v>102</v>
      </c>
      <c r="D194" s="67">
        <v>42780</v>
      </c>
      <c r="E194" s="192" t="s">
        <v>24</v>
      </c>
      <c r="F194" s="64" t="s">
        <v>350</v>
      </c>
      <c r="G194" s="64" t="s">
        <v>351</v>
      </c>
      <c r="H194" s="64" t="s">
        <v>352</v>
      </c>
      <c r="I194" s="99" t="s">
        <v>156</v>
      </c>
      <c r="J194" s="66"/>
      <c r="K194" s="67"/>
      <c r="L194" s="65"/>
      <c r="M194" s="65"/>
      <c r="N194" s="64" t="s">
        <v>354</v>
      </c>
      <c r="O194" s="68"/>
      <c r="P194" s="69">
        <v>180000000</v>
      </c>
      <c r="Q194" s="92"/>
      <c r="R194" s="202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3"/>
        <v>192</v>
      </c>
      <c r="C195" s="62" t="s">
        <v>102</v>
      </c>
      <c r="D195" s="67">
        <v>42783</v>
      </c>
      <c r="E195" s="192" t="s">
        <v>21</v>
      </c>
      <c r="F195" s="64" t="s">
        <v>491</v>
      </c>
      <c r="G195" s="64" t="s">
        <v>492</v>
      </c>
      <c r="H195" s="64" t="s">
        <v>493</v>
      </c>
      <c r="I195" s="94" t="s">
        <v>9</v>
      </c>
      <c r="J195" s="66"/>
      <c r="K195" s="67"/>
      <c r="L195" s="65"/>
      <c r="M195" s="65"/>
      <c r="N195" s="64" t="s">
        <v>494</v>
      </c>
      <c r="O195" s="68"/>
      <c r="P195" s="69">
        <v>24578195</v>
      </c>
      <c r="Q195" s="92"/>
      <c r="R195" s="202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ht="18.75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ref="B196:B226" si="14">IF(C196&lt;&gt;"",ROW()-3,"")</f>
        <v>193</v>
      </c>
      <c r="C196" s="62" t="s">
        <v>80</v>
      </c>
      <c r="D196" s="67">
        <v>42788</v>
      </c>
      <c r="E196" s="192" t="s">
        <v>21</v>
      </c>
      <c r="F196" s="96" t="s">
        <v>128</v>
      </c>
      <c r="G196" s="96" t="s">
        <v>127</v>
      </c>
      <c r="H196" s="96" t="s">
        <v>126</v>
      </c>
      <c r="I196" s="94" t="s">
        <v>9</v>
      </c>
      <c r="J196" s="66"/>
      <c r="K196" s="67"/>
      <c r="L196" s="65"/>
      <c r="M196" s="65"/>
      <c r="N196" s="64" t="s">
        <v>160</v>
      </c>
      <c r="O196" s="68"/>
      <c r="P196" s="69">
        <v>22500000</v>
      </c>
      <c r="Q196" s="92"/>
      <c r="R196" s="202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ht="18.75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si="14"/>
        <v>194</v>
      </c>
      <c r="C197" s="62" t="s">
        <v>124</v>
      </c>
      <c r="D197" s="67">
        <v>42788</v>
      </c>
      <c r="E197" s="192" t="s">
        <v>22</v>
      </c>
      <c r="F197" s="96" t="s">
        <v>129</v>
      </c>
      <c r="G197" s="96" t="s">
        <v>130</v>
      </c>
      <c r="H197" s="96" t="s">
        <v>126</v>
      </c>
      <c r="I197" s="94" t="s">
        <v>9</v>
      </c>
      <c r="J197" s="66"/>
      <c r="K197" s="67"/>
      <c r="L197" s="65"/>
      <c r="M197" s="65"/>
      <c r="N197" s="96" t="s">
        <v>495</v>
      </c>
      <c r="O197" s="68"/>
      <c r="P197" s="69">
        <v>80000000</v>
      </c>
      <c r="Q197" s="92"/>
      <c r="R197" s="202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ht="18.75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>x</v>
      </c>
      <c r="B198" s="62">
        <f t="shared" si="14"/>
        <v>195</v>
      </c>
      <c r="C198" s="62" t="s">
        <v>141</v>
      </c>
      <c r="D198" s="67">
        <v>42793</v>
      </c>
      <c r="E198" s="192" t="s">
        <v>21</v>
      </c>
      <c r="F198" s="96" t="s">
        <v>128</v>
      </c>
      <c r="G198" s="96" t="s">
        <v>296</v>
      </c>
      <c r="H198" s="96" t="s">
        <v>126</v>
      </c>
      <c r="I198" s="94" t="s">
        <v>9</v>
      </c>
      <c r="J198" s="66"/>
      <c r="K198" s="67"/>
      <c r="L198" s="65"/>
      <c r="M198" s="65"/>
      <c r="N198" s="64" t="s">
        <v>166</v>
      </c>
      <c r="O198" s="68">
        <v>450000</v>
      </c>
      <c r="P198" s="69"/>
      <c r="Q198" s="92"/>
      <c r="R198" s="202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>p1</v>
      </c>
    </row>
    <row r="199" spans="1:18" ht="18.75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124</v>
      </c>
      <c r="D199" s="67">
        <v>42793</v>
      </c>
      <c r="E199" s="192" t="s">
        <v>22</v>
      </c>
      <c r="F199" s="96" t="s">
        <v>128</v>
      </c>
      <c r="G199" s="96" t="s">
        <v>127</v>
      </c>
      <c r="H199" s="96" t="s">
        <v>126</v>
      </c>
      <c r="I199" s="94" t="s">
        <v>9</v>
      </c>
      <c r="J199" s="97"/>
      <c r="K199" s="67"/>
      <c r="L199" s="65"/>
      <c r="M199" s="65"/>
      <c r="N199" s="64" t="s">
        <v>125</v>
      </c>
      <c r="O199" s="68">
        <v>450000</v>
      </c>
      <c r="P199" s="69"/>
      <c r="Q199" s="92"/>
      <c r="R199" s="202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ht="18.75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124</v>
      </c>
      <c r="D200" s="67">
        <v>42793</v>
      </c>
      <c r="E200" s="192" t="s">
        <v>23</v>
      </c>
      <c r="F200" s="96" t="s">
        <v>129</v>
      </c>
      <c r="G200" s="96" t="s">
        <v>130</v>
      </c>
      <c r="H200" s="96" t="s">
        <v>126</v>
      </c>
      <c r="I200" s="94" t="s">
        <v>9</v>
      </c>
      <c r="J200" s="66"/>
      <c r="K200" s="67"/>
      <c r="L200" s="65"/>
      <c r="M200" s="65"/>
      <c r="N200" s="96" t="s">
        <v>495</v>
      </c>
      <c r="O200" s="68"/>
      <c r="P200" s="69">
        <v>5249911000</v>
      </c>
      <c r="Q200" s="92"/>
      <c r="R200" s="202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102</v>
      </c>
      <c r="D201" s="67">
        <v>42793</v>
      </c>
      <c r="E201" s="192" t="s">
        <v>24</v>
      </c>
      <c r="F201" s="64" t="s">
        <v>162</v>
      </c>
      <c r="G201" s="64" t="s">
        <v>198</v>
      </c>
      <c r="H201" s="64" t="s">
        <v>163</v>
      </c>
      <c r="I201" s="99" t="s">
        <v>156</v>
      </c>
      <c r="J201" s="66"/>
      <c r="K201" s="67"/>
      <c r="L201" s="65"/>
      <c r="M201" s="65"/>
      <c r="N201" s="104" t="s">
        <v>496</v>
      </c>
      <c r="O201" s="68"/>
      <c r="P201" s="69">
        <v>75820800</v>
      </c>
      <c r="Q201" s="92"/>
      <c r="R201" s="202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ht="18.75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124</v>
      </c>
      <c r="D202" s="67">
        <v>42793</v>
      </c>
      <c r="E202" s="192" t="s">
        <v>82</v>
      </c>
      <c r="F202" s="64" t="s">
        <v>34</v>
      </c>
      <c r="G202" s="64" t="s">
        <v>30</v>
      </c>
      <c r="H202" s="64" t="s">
        <v>31</v>
      </c>
      <c r="I202" s="65" t="s">
        <v>33</v>
      </c>
      <c r="J202" s="66"/>
      <c r="K202" s="67"/>
      <c r="L202" s="65"/>
      <c r="M202" s="65"/>
      <c r="N202" s="64" t="s">
        <v>497</v>
      </c>
      <c r="O202" s="68"/>
      <c r="P202" s="69">
        <f>20062790+10497850+14927330</f>
        <v>45487970</v>
      </c>
      <c r="Q202" s="92"/>
      <c r="R202" s="202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ht="18.75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141</v>
      </c>
      <c r="D203" s="67">
        <v>42807</v>
      </c>
      <c r="E203" s="192" t="s">
        <v>21</v>
      </c>
      <c r="F203" s="64" t="s">
        <v>173</v>
      </c>
      <c r="G203" s="71" t="s">
        <v>500</v>
      </c>
      <c r="H203" s="64" t="s">
        <v>175</v>
      </c>
      <c r="I203" s="94" t="s">
        <v>9</v>
      </c>
      <c r="J203" s="66"/>
      <c r="K203" s="67"/>
      <c r="L203" s="65"/>
      <c r="M203" s="65"/>
      <c r="N203" s="64" t="s">
        <v>499</v>
      </c>
      <c r="O203" s="68"/>
      <c r="P203" s="69">
        <v>5735000</v>
      </c>
      <c r="Q203" s="92"/>
      <c r="R203" s="202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ht="18.75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141</v>
      </c>
      <c r="D204" s="67">
        <v>42807</v>
      </c>
      <c r="E204" s="192" t="s">
        <v>22</v>
      </c>
      <c r="F204" s="64" t="s">
        <v>173</v>
      </c>
      <c r="G204" s="71" t="s">
        <v>176</v>
      </c>
      <c r="H204" s="64" t="s">
        <v>177</v>
      </c>
      <c r="I204" s="94" t="s">
        <v>9</v>
      </c>
      <c r="J204" s="66"/>
      <c r="K204" s="67"/>
      <c r="L204" s="65"/>
      <c r="M204" s="65"/>
      <c r="N204" s="64" t="s">
        <v>499</v>
      </c>
      <c r="O204" s="68"/>
      <c r="P204" s="69">
        <v>950000</v>
      </c>
      <c r="Q204" s="92"/>
      <c r="R204" s="202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ht="18.75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124</v>
      </c>
      <c r="D205" s="67">
        <v>42808</v>
      </c>
      <c r="E205" s="192" t="s">
        <v>21</v>
      </c>
      <c r="F205" s="64" t="s">
        <v>89</v>
      </c>
      <c r="G205" s="64" t="s">
        <v>90</v>
      </c>
      <c r="H205" s="64" t="s">
        <v>91</v>
      </c>
      <c r="I205" s="65" t="s">
        <v>33</v>
      </c>
      <c r="J205" s="66"/>
      <c r="K205" s="67"/>
      <c r="L205" s="65"/>
      <c r="M205" s="65"/>
      <c r="N205" s="64" t="s">
        <v>92</v>
      </c>
      <c r="O205" s="68"/>
      <c r="P205" s="69">
        <v>146107151</v>
      </c>
      <c r="Q205" s="92"/>
      <c r="R205" s="202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>e</v>
      </c>
    </row>
    <row r="206" spans="1:18" ht="18.75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124</v>
      </c>
      <c r="D206" s="67">
        <v>42808</v>
      </c>
      <c r="E206" s="192" t="s">
        <v>22</v>
      </c>
      <c r="F206" s="64" t="s">
        <v>361</v>
      </c>
      <c r="G206" s="64" t="s">
        <v>362</v>
      </c>
      <c r="H206" s="64" t="s">
        <v>363</v>
      </c>
      <c r="I206" s="62" t="s">
        <v>9</v>
      </c>
      <c r="J206" s="66"/>
      <c r="K206" s="67"/>
      <c r="L206" s="65"/>
      <c r="M206" s="65"/>
      <c r="N206" s="64" t="s">
        <v>364</v>
      </c>
      <c r="O206" s="68"/>
      <c r="P206" s="69">
        <v>35661417</v>
      </c>
      <c r="Q206" s="92"/>
      <c r="R206" s="202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>e</v>
      </c>
    </row>
    <row r="207" spans="1:18" ht="18.75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>
        <f t="shared" si="14"/>
        <v>204</v>
      </c>
      <c r="C207" s="62" t="s">
        <v>124</v>
      </c>
      <c r="D207" s="67">
        <v>42808</v>
      </c>
      <c r="E207" s="192" t="s">
        <v>23</v>
      </c>
      <c r="F207" s="64" t="s">
        <v>169</v>
      </c>
      <c r="G207" s="71" t="s">
        <v>170</v>
      </c>
      <c r="H207" s="64" t="s">
        <v>171</v>
      </c>
      <c r="I207" s="94" t="s">
        <v>9</v>
      </c>
      <c r="J207" s="66"/>
      <c r="K207" s="67"/>
      <c r="L207" s="65"/>
      <c r="M207" s="65"/>
      <c r="N207" s="64" t="s">
        <v>172</v>
      </c>
      <c r="O207" s="68"/>
      <c r="P207" s="69">
        <v>100000000</v>
      </c>
      <c r="Q207" s="92"/>
      <c r="R207" s="202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>e</v>
      </c>
    </row>
    <row r="208" spans="1:18" ht="18.75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>
        <f t="shared" si="14"/>
        <v>205</v>
      </c>
      <c r="C208" s="62" t="s">
        <v>124</v>
      </c>
      <c r="D208" s="67">
        <v>42808</v>
      </c>
      <c r="E208" s="192" t="s">
        <v>24</v>
      </c>
      <c r="F208" s="64" t="s">
        <v>93</v>
      </c>
      <c r="G208" s="71" t="s">
        <v>96</v>
      </c>
      <c r="H208" s="64" t="s">
        <v>94</v>
      </c>
      <c r="I208" s="62" t="s">
        <v>9</v>
      </c>
      <c r="J208" s="66"/>
      <c r="K208" s="67"/>
      <c r="L208" s="65"/>
      <c r="M208" s="65"/>
      <c r="N208" s="64" t="s">
        <v>95</v>
      </c>
      <c r="O208" s="68"/>
      <c r="P208" s="69">
        <v>40000000</v>
      </c>
      <c r="Q208" s="92"/>
      <c r="R208" s="202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>e</v>
      </c>
    </row>
    <row r="209" spans="1:18" ht="18.75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>x1</v>
      </c>
      <c r="B209" s="62">
        <f t="shared" si="14"/>
        <v>206</v>
      </c>
      <c r="C209" s="62" t="s">
        <v>124</v>
      </c>
      <c r="D209" s="67">
        <v>42808</v>
      </c>
      <c r="E209" s="192" t="s">
        <v>82</v>
      </c>
      <c r="F209" s="64" t="s">
        <v>486</v>
      </c>
      <c r="G209" s="64" t="s">
        <v>487</v>
      </c>
      <c r="H209" s="64" t="s">
        <v>488</v>
      </c>
      <c r="I209" s="94" t="s">
        <v>9</v>
      </c>
      <c r="J209" s="66"/>
      <c r="K209" s="67"/>
      <c r="L209" s="65"/>
      <c r="M209" s="65"/>
      <c r="N209" s="64" t="s">
        <v>489</v>
      </c>
      <c r="O209" s="68"/>
      <c r="P209" s="69">
        <v>150000000</v>
      </c>
      <c r="Q209" s="92"/>
      <c r="R209" s="202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>e</v>
      </c>
    </row>
    <row r="210" spans="1:18" ht="18.75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>
        <f t="shared" si="14"/>
        <v>207</v>
      </c>
      <c r="C210" s="62" t="s">
        <v>124</v>
      </c>
      <c r="D210" s="67">
        <v>42808</v>
      </c>
      <c r="E210" s="192" t="s">
        <v>83</v>
      </c>
      <c r="F210" s="64" t="s">
        <v>501</v>
      </c>
      <c r="G210" s="64" t="s">
        <v>502</v>
      </c>
      <c r="H210" s="64" t="s">
        <v>503</v>
      </c>
      <c r="I210" s="94" t="s">
        <v>9</v>
      </c>
      <c r="J210" s="66"/>
      <c r="K210" s="67"/>
      <c r="L210" s="65"/>
      <c r="M210" s="65"/>
      <c r="N210" s="64" t="s">
        <v>504</v>
      </c>
      <c r="O210" s="68"/>
      <c r="P210" s="69">
        <v>21000000</v>
      </c>
      <c r="Q210" s="92"/>
      <c r="R210" s="202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>e</v>
      </c>
    </row>
    <row r="211" spans="1:18" ht="18.75" customHeight="1">
      <c r="A211" s="5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62" t="str">
        <f t="shared" si="14"/>
        <v/>
      </c>
      <c r="C211" s="62"/>
      <c r="D211" s="67"/>
      <c r="E211" s="65"/>
      <c r="F211" s="64"/>
      <c r="G211" s="64"/>
      <c r="H211" s="64"/>
      <c r="I211" s="65"/>
      <c r="J211" s="66"/>
      <c r="K211" s="67"/>
      <c r="L211" s="65"/>
      <c r="M211" s="65"/>
      <c r="N211" s="64"/>
      <c r="O211" s="68"/>
      <c r="P211" s="69"/>
      <c r="Q211" s="92"/>
      <c r="R211" s="202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 t="str">
        <f t="shared" si="14"/>
        <v/>
      </c>
      <c r="C212" s="62"/>
      <c r="D212" s="67"/>
      <c r="E212" s="65"/>
      <c r="F212" s="64"/>
      <c r="G212" s="64"/>
      <c r="H212" s="64"/>
      <c r="I212" s="65"/>
      <c r="J212" s="66"/>
      <c r="K212" s="67"/>
      <c r="L212" s="65"/>
      <c r="M212" s="65"/>
      <c r="N212" s="64"/>
      <c r="O212" s="68"/>
      <c r="P212" s="69"/>
      <c r="Q212" s="92"/>
      <c r="R212" s="202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 t="str">
        <f t="shared" si="14"/>
        <v/>
      </c>
      <c r="C213" s="62"/>
      <c r="D213" s="67"/>
      <c r="E213" s="65"/>
      <c r="F213" s="64"/>
      <c r="G213" s="64"/>
      <c r="H213" s="64"/>
      <c r="I213" s="65"/>
      <c r="J213" s="66"/>
      <c r="K213" s="67"/>
      <c r="L213" s="65"/>
      <c r="M213" s="65"/>
      <c r="N213" s="64"/>
      <c r="O213" s="68"/>
      <c r="P213" s="69"/>
      <c r="Q213" s="92"/>
      <c r="R213" s="202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ht="18.75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 t="str">
        <f t="shared" si="14"/>
        <v/>
      </c>
      <c r="C214" s="62"/>
      <c r="D214" s="67"/>
      <c r="E214" s="65"/>
      <c r="F214" s="64"/>
      <c r="G214" s="64"/>
      <c r="H214" s="64"/>
      <c r="I214" s="65"/>
      <c r="J214" s="66"/>
      <c r="K214" s="67"/>
      <c r="L214" s="65"/>
      <c r="M214" s="65"/>
      <c r="N214" s="64"/>
      <c r="O214" s="68"/>
      <c r="P214" s="69"/>
      <c r="Q214" s="92"/>
      <c r="R214" s="202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ht="18.75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 t="str">
        <f t="shared" si="14"/>
        <v/>
      </c>
      <c r="C215" s="62"/>
      <c r="D215" s="67"/>
      <c r="E215" s="65"/>
      <c r="F215" s="64"/>
      <c r="G215" s="64"/>
      <c r="H215" s="64"/>
      <c r="I215" s="65"/>
      <c r="J215" s="66"/>
      <c r="K215" s="67"/>
      <c r="L215" s="65"/>
      <c r="M215" s="65"/>
      <c r="N215" s="64"/>
      <c r="O215" s="68"/>
      <c r="P215" s="69"/>
      <c r="Q215" s="92"/>
      <c r="R215" s="202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ht="18.75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 t="str">
        <f t="shared" si="14"/>
        <v/>
      </c>
      <c r="C216" s="62"/>
      <c r="D216" s="67"/>
      <c r="E216" s="65"/>
      <c r="F216" s="64"/>
      <c r="G216" s="64"/>
      <c r="H216" s="64"/>
      <c r="I216" s="65"/>
      <c r="J216" s="66"/>
      <c r="K216" s="67"/>
      <c r="L216" s="65"/>
      <c r="M216" s="65"/>
      <c r="N216" s="64"/>
      <c r="O216" s="68"/>
      <c r="P216" s="69"/>
      <c r="Q216" s="92"/>
      <c r="R216" s="202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ht="18.75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 t="str">
        <f t="shared" si="14"/>
        <v/>
      </c>
      <c r="C217" s="62"/>
      <c r="D217" s="67"/>
      <c r="E217" s="65"/>
      <c r="F217" s="64"/>
      <c r="G217" s="64"/>
      <c r="H217" s="64"/>
      <c r="I217" s="65"/>
      <c r="J217" s="66"/>
      <c r="K217" s="67"/>
      <c r="L217" s="65"/>
      <c r="M217" s="65"/>
      <c r="N217" s="64"/>
      <c r="O217" s="68"/>
      <c r="P217" s="69"/>
      <c r="Q217" s="92"/>
      <c r="R217" s="202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ht="18.75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 t="str">
        <f t="shared" si="14"/>
        <v/>
      </c>
      <c r="C218" s="62"/>
      <c r="D218" s="67"/>
      <c r="E218" s="65"/>
      <c r="F218" s="64"/>
      <c r="G218" s="64"/>
      <c r="H218" s="64"/>
      <c r="I218" s="65"/>
      <c r="J218" s="66"/>
      <c r="K218" s="67"/>
      <c r="L218" s="65"/>
      <c r="M218" s="65"/>
      <c r="N218" s="64"/>
      <c r="O218" s="68"/>
      <c r="P218" s="69"/>
      <c r="Q218" s="92"/>
      <c r="R218" s="202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ht="18.75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 t="str">
        <f t="shared" si="14"/>
        <v/>
      </c>
      <c r="C219" s="62"/>
      <c r="D219" s="67"/>
      <c r="E219" s="65"/>
      <c r="F219" s="64"/>
      <c r="G219" s="64"/>
      <c r="H219" s="64"/>
      <c r="I219" s="65"/>
      <c r="J219" s="66"/>
      <c r="K219" s="67"/>
      <c r="L219" s="65"/>
      <c r="M219" s="65"/>
      <c r="N219" s="64"/>
      <c r="O219" s="68"/>
      <c r="P219" s="69"/>
      <c r="Q219" s="92"/>
      <c r="R219" s="202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ht="18.75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 t="str">
        <f t="shared" si="14"/>
        <v/>
      </c>
      <c r="C220" s="62"/>
      <c r="D220" s="67"/>
      <c r="E220" s="65"/>
      <c r="F220" s="64"/>
      <c r="G220" s="64"/>
      <c r="H220" s="64"/>
      <c r="I220" s="65"/>
      <c r="J220" s="66"/>
      <c r="K220" s="67"/>
      <c r="L220" s="65"/>
      <c r="M220" s="65"/>
      <c r="N220" s="64"/>
      <c r="O220" s="68"/>
      <c r="P220" s="69"/>
      <c r="Q220" s="92"/>
      <c r="R220" s="202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ht="18.75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 t="str">
        <f t="shared" si="14"/>
        <v/>
      </c>
      <c r="C221" s="62"/>
      <c r="D221" s="67"/>
      <c r="E221" s="65"/>
      <c r="F221" s="64"/>
      <c r="G221" s="64"/>
      <c r="H221" s="64"/>
      <c r="I221" s="65"/>
      <c r="J221" s="66"/>
      <c r="K221" s="67"/>
      <c r="L221" s="65"/>
      <c r="M221" s="65"/>
      <c r="N221" s="64"/>
      <c r="O221" s="68"/>
      <c r="P221" s="69"/>
      <c r="Q221" s="92"/>
      <c r="R221" s="202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ht="18.75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 t="str">
        <f t="shared" si="14"/>
        <v/>
      </c>
      <c r="C222" s="62"/>
      <c r="D222" s="67"/>
      <c r="E222" s="65"/>
      <c r="F222" s="64"/>
      <c r="G222" s="64"/>
      <c r="H222" s="64"/>
      <c r="I222" s="65"/>
      <c r="J222" s="66"/>
      <c r="K222" s="67"/>
      <c r="L222" s="65"/>
      <c r="M222" s="65"/>
      <c r="N222" s="64"/>
      <c r="O222" s="68"/>
      <c r="P222" s="69"/>
      <c r="Q222" s="92"/>
      <c r="R222" s="202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ht="18.75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 t="str">
        <f t="shared" si="14"/>
        <v/>
      </c>
      <c r="C223" s="62"/>
      <c r="D223" s="67"/>
      <c r="E223" s="65"/>
      <c r="F223" s="64"/>
      <c r="G223" s="64"/>
      <c r="H223" s="64"/>
      <c r="I223" s="65"/>
      <c r="J223" s="66"/>
      <c r="K223" s="67"/>
      <c r="L223" s="65"/>
      <c r="M223" s="65"/>
      <c r="N223" s="64"/>
      <c r="O223" s="68"/>
      <c r="P223" s="69"/>
      <c r="Q223" s="92"/>
      <c r="R223" s="202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ht="18.75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 t="str">
        <f t="shared" si="14"/>
        <v/>
      </c>
      <c r="C224" s="62"/>
      <c r="D224" s="67"/>
      <c r="E224" s="65"/>
      <c r="F224" s="64"/>
      <c r="G224" s="64"/>
      <c r="H224" s="64"/>
      <c r="I224" s="65"/>
      <c r="J224" s="66"/>
      <c r="K224" s="67"/>
      <c r="L224" s="65"/>
      <c r="M224" s="65"/>
      <c r="N224" s="64"/>
      <c r="O224" s="68"/>
      <c r="P224" s="69"/>
      <c r="Q224" s="92"/>
      <c r="R224" s="202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ht="18.75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 t="str">
        <f t="shared" si="14"/>
        <v/>
      </c>
      <c r="C225" s="62"/>
      <c r="D225" s="67"/>
      <c r="E225" s="65"/>
      <c r="F225" s="64"/>
      <c r="G225" s="64"/>
      <c r="H225" s="64"/>
      <c r="I225" s="65"/>
      <c r="J225" s="66"/>
      <c r="K225" s="67"/>
      <c r="L225" s="65"/>
      <c r="M225" s="65"/>
      <c r="N225" s="64"/>
      <c r="O225" s="68"/>
      <c r="P225" s="69"/>
      <c r="Q225" s="92"/>
      <c r="R225" s="202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ht="18.75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 t="str">
        <f t="shared" si="14"/>
        <v/>
      </c>
      <c r="C226" s="62"/>
      <c r="D226" s="67"/>
      <c r="E226" s="65"/>
      <c r="F226" s="64"/>
      <c r="G226" s="64"/>
      <c r="H226" s="64"/>
      <c r="I226" s="65"/>
      <c r="J226" s="66"/>
      <c r="K226" s="67"/>
      <c r="L226" s="65"/>
      <c r="M226" s="65"/>
      <c r="N226" s="64"/>
      <c r="O226" s="68"/>
      <c r="P226" s="69"/>
      <c r="Q226" s="92"/>
      <c r="R226" s="202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</sheetData>
  <autoFilter ref="B3:X227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226">
      <formula1>"PV,EIB-Q4,EIB-Q11,EIB-TV"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tabSelected="1" view="pageBreakPreview" zoomScale="110" zoomScaleNormal="110" zoomScaleSheetLayoutView="110" workbookViewId="0">
      <pane ySplit="32" topLeftCell="A33" activePane="bottomLeft" state="frozen"/>
      <selection pane="bottomLeft" activeCell="V2" sqref="V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</v>
      </c>
    </row>
    <row r="2" spans="1:22" ht="21.75" customHeight="1" thickBot="1">
      <c r="A2" s="16"/>
      <c r="B2" s="16"/>
      <c r="G2" s="24"/>
      <c r="H2" s="51" t="s">
        <v>52</v>
      </c>
      <c r="M2" s="27" t="s">
        <v>122</v>
      </c>
      <c r="N2" s="27"/>
      <c r="R2" s="13" t="s">
        <v>27</v>
      </c>
      <c r="T2" s="10">
        <v>42808</v>
      </c>
      <c r="U2" s="11"/>
      <c r="V2" s="12" t="s">
        <v>82</v>
      </c>
    </row>
    <row r="3" spans="1:22" ht="12.75" customHeight="1">
      <c r="G3" s="26"/>
      <c r="H3" s="26" t="s">
        <v>53</v>
      </c>
      <c r="I3" s="25"/>
      <c r="M3" s="27" t="s">
        <v>123</v>
      </c>
      <c r="N3" s="27"/>
    </row>
    <row r="4" spans="1:22" ht="12.75" customHeight="1">
      <c r="A4" s="17"/>
      <c r="B4" s="17"/>
    </row>
    <row r="5" spans="1:22" ht="11.25" customHeight="1">
      <c r="A5" s="17" t="s">
        <v>44</v>
      </c>
      <c r="B5" s="17"/>
    </row>
    <row r="6" spans="1:22" s="47" customFormat="1" ht="13.5" customHeight="1">
      <c r="A6" s="17" t="s">
        <v>45</v>
      </c>
      <c r="B6" s="29"/>
      <c r="C6" s="46" t="str">
        <f>"CTY TNHH HẢI SẢN AN LẠC "&amp;IF(RIGHT(VLOOKUP("X1",DS,3,0),1)="V","TRÀ VINH","")</f>
        <v xml:space="preserve">CTY TNHH HẢI SẢN AN LẠC </v>
      </c>
      <c r="G6" s="49"/>
      <c r="H6" s="49"/>
    </row>
    <row r="7" spans="1:22" ht="9" customHeight="1">
      <c r="A7" s="28" t="s">
        <v>35</v>
      </c>
      <c r="B7" s="28"/>
    </row>
    <row r="8" spans="1:22" s="7" customFormat="1" ht="12" customHeight="1">
      <c r="A8" s="17" t="s">
        <v>46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1402 148 5100 9465</v>
      </c>
    </row>
    <row r="9" spans="1:22" ht="9.75" customHeight="1">
      <c r="A9" s="28" t="s">
        <v>36</v>
      </c>
      <c r="B9" s="28"/>
    </row>
    <row r="10" spans="1:22" s="7" customFormat="1" ht="12" customHeight="1">
      <c r="A10" s="17" t="s">
        <v>56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37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47</v>
      </c>
      <c r="B12" s="17"/>
      <c r="C12" s="43" t="str">
        <f>VLOOKUP("X1",DS,6,0)</f>
        <v>CÔNG TY TNHH GIAO NHẬN VẬN CHUYỂN ÁNH DƯƠNG</v>
      </c>
    </row>
    <row r="13" spans="1:22" ht="8.25" customHeight="1">
      <c r="A13" s="28" t="s">
        <v>38</v>
      </c>
      <c r="B13" s="28"/>
      <c r="H13" s="31"/>
    </row>
    <row r="14" spans="1:22" s="7" customFormat="1" ht="12" customHeight="1">
      <c r="A14" s="88" t="s">
        <v>54</v>
      </c>
      <c r="B14" s="17" t="s">
        <v>55</v>
      </c>
      <c r="C14" s="53" t="str">
        <f>VLOOKUP("X1",DS,7,0)</f>
        <v>053 100 250 3669</v>
      </c>
      <c r="H14" s="45"/>
      <c r="I14" s="7" t="s">
        <v>54</v>
      </c>
      <c r="J14" s="17" t="s">
        <v>77</v>
      </c>
      <c r="K14" s="17"/>
      <c r="L14" s="17"/>
    </row>
    <row r="15" spans="1:22" ht="9" customHeight="1">
      <c r="A15" s="18" t="s">
        <v>39</v>
      </c>
      <c r="B15" s="28"/>
      <c r="H15" s="31"/>
      <c r="J15" s="18" t="s">
        <v>57</v>
      </c>
      <c r="K15" s="18"/>
      <c r="L15" s="18"/>
    </row>
    <row r="16" spans="1:22" ht="12.75" customHeight="1">
      <c r="A16" s="17" t="s">
        <v>48</v>
      </c>
      <c r="B16" s="17"/>
      <c r="C16" s="52" t="str">
        <f>VLOOKUP("X1",DS,8,0)</f>
        <v>Vietcombank – CN Đông Sài Gòn</v>
      </c>
      <c r="D16" s="19"/>
      <c r="E16" s="19"/>
      <c r="H16" s="31"/>
      <c r="J16" s="19" t="s">
        <v>79</v>
      </c>
      <c r="K16" s="19"/>
      <c r="L16" s="19"/>
    </row>
    <row r="17" spans="1:16" ht="8.25" customHeight="1">
      <c r="A17" s="18" t="s">
        <v>40</v>
      </c>
      <c r="B17" s="18"/>
      <c r="H17" s="31"/>
      <c r="J17" s="28" t="s">
        <v>58</v>
      </c>
      <c r="K17" s="28"/>
      <c r="L17" s="28"/>
    </row>
    <row r="18" spans="1:16" ht="12" customHeight="1">
      <c r="A18" s="17" t="s">
        <v>49</v>
      </c>
      <c r="B18" s="17"/>
      <c r="C18" s="53" t="str">
        <f>VLOOKUP("X1",DS,9,0)</f>
        <v>TPHCM</v>
      </c>
      <c r="H18" s="31"/>
      <c r="J18" s="19" t="s">
        <v>78</v>
      </c>
      <c r="K18" s="19"/>
      <c r="L18" s="19"/>
    </row>
    <row r="19" spans="1:16" ht="8.25" customHeight="1">
      <c r="A19" s="18" t="s">
        <v>41</v>
      </c>
      <c r="B19" s="18"/>
      <c r="C19" s="39"/>
      <c r="H19" s="40"/>
      <c r="J19" s="28" t="s">
        <v>59</v>
      </c>
      <c r="K19" s="28"/>
      <c r="L19" s="28"/>
    </row>
    <row r="20" spans="1:16" ht="14.25" customHeight="1">
      <c r="A20" s="33" t="s">
        <v>60</v>
      </c>
      <c r="B20" s="34"/>
      <c r="C20" s="52" t="str">
        <f>[1]!VND($N$22,FALSE)&amp;IF($R$2="USD"," đô la mỹ."," đồng.")</f>
        <v>Một trăm năm mươi triệu đồng.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240" t="s">
        <v>61</v>
      </c>
      <c r="O20" s="240"/>
      <c r="P20" s="37"/>
    </row>
    <row r="21" spans="1:16" ht="9" customHeight="1">
      <c r="A21" s="28" t="s">
        <v>50</v>
      </c>
      <c r="B21" s="17"/>
      <c r="C21" s="20" t="s">
        <v>42</v>
      </c>
      <c r="D21" s="20"/>
      <c r="E21" s="20"/>
      <c r="M21" s="31"/>
      <c r="N21" s="241" t="s">
        <v>62</v>
      </c>
      <c r="O21" s="241"/>
      <c r="P21" s="32"/>
    </row>
    <row r="22" spans="1:16">
      <c r="A22" s="18"/>
      <c r="B22" s="18"/>
      <c r="M22" s="31"/>
      <c r="N22" s="50">
        <f>IF($R$2="VNĐ",VLOOKUP("X1",DS,16,0),VLOOKUP("X1",DS,15,0))</f>
        <v>150000000</v>
      </c>
      <c r="O22" s="44" t="str">
        <f>R2</f>
        <v>VNĐ</v>
      </c>
      <c r="P22" s="32"/>
    </row>
    <row r="23" spans="1:16" ht="12" customHeight="1">
      <c r="A23" s="17" t="s">
        <v>63</v>
      </c>
      <c r="B23" s="15"/>
      <c r="C23" s="52" t="str">
        <f>VLOOKUP("X1",DS,14,0)</f>
        <v>Thanh toán cước vận chuyển và phí liên quan – Ánh Dương</v>
      </c>
      <c r="M23" s="31"/>
      <c r="P23" s="32"/>
    </row>
    <row r="24" spans="1:16" ht="9" customHeight="1">
      <c r="A24" s="28" t="s">
        <v>43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101</v>
      </c>
      <c r="B26" s="22"/>
      <c r="E26" s="45"/>
      <c r="F26" s="17" t="s">
        <v>74</v>
      </c>
      <c r="K26" s="45"/>
      <c r="L26" s="17" t="s">
        <v>75</v>
      </c>
    </row>
    <row r="27" spans="1:16" ht="8.25" customHeight="1">
      <c r="A27" s="42" t="s">
        <v>51</v>
      </c>
      <c r="B27" s="21"/>
      <c r="C27" s="23"/>
      <c r="D27" s="23"/>
      <c r="E27" s="41"/>
      <c r="F27" s="28" t="s">
        <v>68</v>
      </c>
      <c r="K27" s="31"/>
      <c r="L27" s="28" t="s">
        <v>73</v>
      </c>
    </row>
    <row r="28" spans="1:16" ht="11.25" customHeight="1">
      <c r="A28" s="27" t="s">
        <v>64</v>
      </c>
      <c r="B28" s="22"/>
      <c r="C28" s="27" t="s">
        <v>66</v>
      </c>
      <c r="E28" s="31"/>
      <c r="F28" s="27" t="s">
        <v>69</v>
      </c>
      <c r="H28" s="27" t="s">
        <v>71</v>
      </c>
      <c r="K28" s="31"/>
      <c r="L28" s="27" t="s">
        <v>69</v>
      </c>
      <c r="O28" s="27" t="s">
        <v>71</v>
      </c>
    </row>
    <row r="29" spans="1:16" ht="9" customHeight="1">
      <c r="A29" s="28" t="s">
        <v>65</v>
      </c>
      <c r="B29" s="21"/>
      <c r="C29" s="28" t="s">
        <v>67</v>
      </c>
      <c r="E29" s="31"/>
      <c r="F29" s="28" t="s">
        <v>70</v>
      </c>
      <c r="H29" s="28" t="s">
        <v>72</v>
      </c>
      <c r="K29" s="31"/>
      <c r="L29" s="28" t="s">
        <v>70</v>
      </c>
      <c r="O29" s="28" t="s">
        <v>72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7"/>
  <sheetViews>
    <sheetView view="pageBreakPreview" zoomScaleSheetLayoutView="100" workbookViewId="0">
      <pane ySplit="18" topLeftCell="A19" activePane="bottomLeft" state="frozen"/>
      <selection pane="bottomLeft" activeCell="I14" sqref="I14"/>
    </sheetView>
  </sheetViews>
  <sheetFormatPr defaultRowHeight="15"/>
  <cols>
    <col min="1" max="1" width="5.42578125" style="1" customWidth="1"/>
    <col min="2" max="2" width="2.7109375" style="1" customWidth="1"/>
    <col min="3" max="3" width="9.85546875" style="1" customWidth="1"/>
    <col min="4" max="4" width="12.28515625" style="1" customWidth="1"/>
    <col min="5" max="5" width="5.7109375" style="1" customWidth="1"/>
    <col min="6" max="6" width="8.85546875" style="1" customWidth="1"/>
    <col min="7" max="7" width="7.5703125" style="1" customWidth="1"/>
    <col min="8" max="8" width="9.140625" style="1"/>
    <col min="9" max="9" width="9.85546875" style="1" customWidth="1"/>
    <col min="10" max="10" width="8.42578125" style="1" customWidth="1"/>
    <col min="11" max="11" width="7.2851562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p1</v>
      </c>
      <c r="N1" s="8"/>
    </row>
    <row r="2" spans="1:19" ht="18.75" customHeight="1" thickBot="1">
      <c r="O2" s="13" t="s">
        <v>26</v>
      </c>
      <c r="Q2" s="10">
        <v>42793</v>
      </c>
      <c r="R2" s="11"/>
      <c r="S2" s="12" t="s">
        <v>21</v>
      </c>
    </row>
    <row r="6" spans="1:19" ht="21" customHeight="1">
      <c r="G6" s="1" t="s">
        <v>2</v>
      </c>
    </row>
    <row r="7" spans="1:19" ht="17.25" customHeight="1">
      <c r="E7" s="2" t="str">
        <f>IF($O$2="USD"," 3    7    0    0    0   0    0    0    6    0    7    2"," 0    0    0    0    0   0   0    0   6   0    7    2")</f>
        <v xml:space="preserve"> 3    7    0    0    0   0    0    0    6    0    7    2</v>
      </c>
      <c r="L7" s="7" t="s">
        <v>7</v>
      </c>
    </row>
    <row r="8" spans="1:19" ht="21" customHeight="1">
      <c r="F8" s="242">
        <f>IF($O$2="VNĐ",VLOOKUP("X",DS,16,0),VLOOKUP("X",DS,15,0))</f>
        <v>450000</v>
      </c>
      <c r="G8" s="242"/>
      <c r="K8" s="7" t="str">
        <f>IF(O2="vnđ","x","")</f>
        <v/>
      </c>
      <c r="L8" s="7" t="str">
        <f>IF(O2="usd","x","")</f>
        <v>x</v>
      </c>
    </row>
    <row r="9" spans="1:19" ht="16.5" customHeight="1">
      <c r="F9" s="7" t="str">
        <f>[1]!VND(F8,FALSE)&amp;IF($O$2="USD"," đô la mỹ."," đồng.")</f>
        <v>Bốn trăm năm mươi ngàn đô la mỹ.</v>
      </c>
    </row>
    <row r="10" spans="1:19" ht="16.5" customHeight="1">
      <c r="G10" s="1" t="s">
        <v>3</v>
      </c>
    </row>
    <row r="11" spans="1:19" ht="17.25" customHeight="1">
      <c r="F11" s="7" t="str">
        <f>VLOOKUP("X",DS,14,0)</f>
        <v>Chuyển NT</v>
      </c>
    </row>
    <row r="13" spans="1:19" ht="21" customHeight="1">
      <c r="F13" s="203" t="str">
        <f>VLOOKUP("X",DS,6,0)</f>
        <v>CTY TNHH HẢI SẢN AN LẠC</v>
      </c>
      <c r="G13" s="14"/>
    </row>
    <row r="14" spans="1:19" ht="17.25" customHeight="1"/>
    <row r="16" spans="1:19" ht="21" customHeight="1">
      <c r="C16" s="1" t="s">
        <v>3</v>
      </c>
      <c r="E16" s="1" t="str">
        <f>VLOOKUP("X",DS,7,0)</f>
        <v>1402 148 5100 9479</v>
      </c>
    </row>
    <row r="17" spans="5:5" ht="15.75" customHeight="1">
      <c r="E17" s="7" t="str">
        <f>VLOOKUP("X",DS,8,0)&amp;", "&amp;VLOOKUP("X",DS,9,0)</f>
        <v>Eximbank - CN Q4, TPHCM</v>
      </c>
    </row>
  </sheetData>
  <dataConsolidate/>
  <mergeCells count="1">
    <mergeCell ref="F8:G8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"USD,VNĐ"</formula1>
    </dataValidation>
  </dataValidations>
  <pageMargins left="0" right="0" top="0" bottom="0" header="0" footer="0"/>
  <pageSetup scale="98" orientation="portrait" verticalDpi="0" r:id="rId1"/>
  <headerFooter>
    <oddHeader>&amp;L&amp;G</oddHeader>
  </headerFooter>
  <legacyDrawingHF r:id="rId2"/>
  <picture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25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242" t="e">
        <f>VLOOKUP("X2",DS,16,0)</f>
        <v>#N/A</v>
      </c>
      <c r="F8" s="242"/>
      <c r="G8" s="5"/>
      <c r="L8" s="1" t="s">
        <v>3</v>
      </c>
    </row>
    <row r="9" spans="5:18" ht="17.25" customHeight="1">
      <c r="F9" s="1" t="str">
        <f>[1]!VND(E8,TRUE)</f>
        <v>Error: Đối số của hàm không hợp lệ.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e">
        <f>VLOOKUP("X2",DS,6,0)</f>
        <v>#N/A</v>
      </c>
    </row>
    <row r="13" spans="5:18" ht="19.5" customHeight="1">
      <c r="E13" s="3" t="e">
        <f>VLOOKUP("X2",DS,10,0)</f>
        <v>#N/A</v>
      </c>
      <c r="H13" s="1" t="e">
        <f>DAY(VLOOKUP("X2",DS,11,0))</f>
        <v>#N/A</v>
      </c>
      <c r="I13" s="3" t="e">
        <f>MONTH(VLOOKUP("X2",DS,11,0))</f>
        <v>#N/A</v>
      </c>
      <c r="J13" s="1" t="e">
        <f>YEAR(VLOOKUP("X2",DS,11,0))</f>
        <v>#N/A</v>
      </c>
      <c r="N13" s="1" t="e">
        <f>VLOOKUP("X2",DS,12,0)</f>
        <v>#N/A</v>
      </c>
    </row>
    <row r="14" spans="5:18" ht="20.25" customHeight="1">
      <c r="E14" s="1" t="e">
        <f>VLOOKUP("X2",DS,14,0)</f>
        <v>#N/A</v>
      </c>
    </row>
    <row r="15" spans="5:18" ht="16.5" customHeight="1">
      <c r="H15" s="4"/>
    </row>
    <row r="16" spans="5:18" ht="21" customHeight="1">
      <c r="H16" s="1" t="e">
        <f>VLOOKUP("X2",DS,13,0)</f>
        <v>#N/A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144</v>
      </c>
    </row>
    <row r="2" spans="1:21" ht="21.75" customHeight="1" thickBot="1">
      <c r="A2" s="16"/>
      <c r="B2" s="16"/>
      <c r="G2" s="24"/>
      <c r="H2" s="75" t="s">
        <v>103</v>
      </c>
      <c r="M2" s="27" t="s">
        <v>122</v>
      </c>
      <c r="N2" s="27"/>
      <c r="O2" s="27"/>
      <c r="S2" s="10">
        <v>42556</v>
      </c>
      <c r="T2" s="11"/>
      <c r="U2" s="12" t="s">
        <v>76</v>
      </c>
    </row>
    <row r="3" spans="1:21" ht="12.75" customHeight="1">
      <c r="G3" s="26"/>
      <c r="H3" s="26" t="s">
        <v>53</v>
      </c>
      <c r="I3" s="25"/>
      <c r="M3" s="27" t="s">
        <v>123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104</v>
      </c>
      <c r="B5" s="17"/>
      <c r="E5" s="80"/>
      <c r="F5" s="81" t="s">
        <v>106</v>
      </c>
      <c r="I5" s="85" t="s">
        <v>3</v>
      </c>
      <c r="J5" s="81" t="s">
        <v>107</v>
      </c>
    </row>
    <row r="6" spans="1:21" s="7" customFormat="1" ht="8.25" customHeight="1">
      <c r="A6" s="76" t="s">
        <v>105</v>
      </c>
      <c r="B6" s="17"/>
      <c r="F6" s="76" t="s">
        <v>108</v>
      </c>
      <c r="J6" s="76" t="s">
        <v>109</v>
      </c>
    </row>
    <row r="7" spans="1:21" s="47" customFormat="1" ht="13.5" customHeight="1">
      <c r="A7" s="17" t="s">
        <v>45</v>
      </c>
      <c r="B7" s="29"/>
      <c r="C7" s="46" t="e">
        <f>"CTY TNHH HẢI SẢN AN LẠC "&amp;IF(RIGHT(VLOOKUP("X3",DS,3,0),1)="V","TRÀ VINH","")</f>
        <v>#N/A</v>
      </c>
      <c r="G7" s="49"/>
      <c r="H7" s="49"/>
    </row>
    <row r="8" spans="1:21" ht="8.25" customHeight="1">
      <c r="A8" s="28" t="s">
        <v>35</v>
      </c>
      <c r="B8" s="28"/>
    </row>
    <row r="9" spans="1:21" ht="12.75" customHeight="1">
      <c r="A9" s="17" t="s">
        <v>46</v>
      </c>
      <c r="B9" s="29"/>
      <c r="C9" s="52" t="e">
        <f>IF(RIGHT(VLOOKUP("X3",DS,3,0),1)="1","1015 148 5100 9180",IF(RIGHT(VLOOKUP("X3",DS,3,0),1)="4","1402 148 5100 9465",IF(RIGHT(VLOOKUP("X3",DS,3,0),1)="V","1402 148 5100 7445","")))</f>
        <v>#N/A</v>
      </c>
    </row>
    <row r="10" spans="1:21" ht="8.25" customHeight="1">
      <c r="A10" s="28" t="s">
        <v>36</v>
      </c>
      <c r="B10" s="28"/>
    </row>
    <row r="11" spans="1:21" ht="12.75" customHeight="1">
      <c r="A11" s="17" t="s">
        <v>56</v>
      </c>
      <c r="B11" s="17"/>
      <c r="H11" s="52" t="e">
        <f>IF(RIGHT(VLOOKUP("X3",DS,3,0),1)="1","CHI NHÁNH QUẬN 11",IF(RIGHT(VLOOKUP("X3",DS,3,0),1)="4","CHI NHÁNH QUẬN 4",IF(RIGHT(VLOOKUP("X3",DS,3,0),1)="V","CHI NHÁNH QUẬN 4","")))</f>
        <v>#N/A</v>
      </c>
    </row>
    <row r="12" spans="1:21" ht="9" customHeight="1">
      <c r="A12" s="38" t="s">
        <v>37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47</v>
      </c>
      <c r="B13" s="17"/>
      <c r="C13" s="43" t="e">
        <f>VLOOKUP("X3",DS,6,0)</f>
        <v>#N/A</v>
      </c>
    </row>
    <row r="14" spans="1:21" ht="8.25" customHeight="1">
      <c r="A14" s="28" t="s">
        <v>38</v>
      </c>
      <c r="B14" s="28"/>
      <c r="H14" s="31"/>
    </row>
    <row r="15" spans="1:21" ht="12" customHeight="1">
      <c r="A15" s="30" t="s">
        <v>54</v>
      </c>
      <c r="B15" s="17" t="s">
        <v>110</v>
      </c>
      <c r="C15" s="52"/>
      <c r="H15" s="31"/>
      <c r="I15" s="7" t="s">
        <v>54</v>
      </c>
      <c r="J15" s="17" t="s">
        <v>114</v>
      </c>
      <c r="K15" s="17"/>
      <c r="L15" s="54" t="e">
        <f>VLOOKUP("X3",DS,10,0)</f>
        <v>#N/A</v>
      </c>
    </row>
    <row r="16" spans="1:21" ht="8.25" customHeight="1">
      <c r="A16" s="18" t="s">
        <v>39</v>
      </c>
      <c r="B16" s="28"/>
      <c r="H16" s="31"/>
      <c r="J16" s="18" t="s">
        <v>57</v>
      </c>
      <c r="K16" s="18"/>
      <c r="L16" s="18"/>
    </row>
    <row r="17" spans="1:17" ht="11.25" customHeight="1">
      <c r="A17" s="17" t="s">
        <v>111</v>
      </c>
      <c r="B17" s="17"/>
      <c r="C17" s="52"/>
      <c r="D17" s="19"/>
      <c r="E17" s="19"/>
      <c r="H17" s="31"/>
      <c r="J17" s="20" t="s">
        <v>112</v>
      </c>
      <c r="K17" s="82"/>
      <c r="L17" s="246" t="e">
        <f>VLOOKUP("X3",DS,11,0)</f>
        <v>#N/A</v>
      </c>
      <c r="M17" s="246"/>
    </row>
    <row r="18" spans="1:17" ht="8.25" customHeight="1">
      <c r="A18" s="18" t="s">
        <v>40</v>
      </c>
      <c r="B18" s="18"/>
      <c r="H18" s="31"/>
      <c r="J18" s="28" t="s">
        <v>58</v>
      </c>
      <c r="K18" s="28"/>
      <c r="L18" s="28"/>
    </row>
    <row r="19" spans="1:17" ht="11.25" customHeight="1">
      <c r="A19" s="17" t="s">
        <v>121</v>
      </c>
      <c r="B19" s="17"/>
      <c r="C19" s="53"/>
      <c r="H19" s="31"/>
      <c r="J19" s="20" t="s">
        <v>113</v>
      </c>
      <c r="K19" s="19"/>
      <c r="L19" s="54" t="e">
        <f>VLOOKUP("X3",DS,12,0)</f>
        <v>#N/A</v>
      </c>
    </row>
    <row r="20" spans="1:17" ht="8.25" customHeight="1">
      <c r="A20" s="18" t="s">
        <v>41</v>
      </c>
      <c r="B20" s="18"/>
      <c r="C20" s="39"/>
      <c r="H20" s="40"/>
      <c r="J20" s="28" t="s">
        <v>59</v>
      </c>
      <c r="K20" s="28"/>
      <c r="L20" s="28"/>
    </row>
    <row r="21" spans="1:17">
      <c r="A21" s="33" t="s">
        <v>60</v>
      </c>
      <c r="B21" s="34"/>
      <c r="C21" s="52" t="str">
        <f>[1]!VND(O23,TRUE)</f>
        <v>Error: Đối số của hàm không hợp lệ.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243" t="s">
        <v>61</v>
      </c>
      <c r="O21" s="244"/>
      <c r="P21" s="244"/>
      <c r="Q21" s="37"/>
    </row>
    <row r="22" spans="1:17" ht="9" customHeight="1">
      <c r="A22" s="28" t="s">
        <v>50</v>
      </c>
      <c r="B22" s="17"/>
      <c r="C22" s="20" t="s">
        <v>42</v>
      </c>
      <c r="D22" s="20"/>
      <c r="E22" s="20"/>
      <c r="L22" s="48"/>
      <c r="M22" s="48"/>
      <c r="N22" s="245" t="s">
        <v>62</v>
      </c>
      <c r="O22" s="241"/>
      <c r="P22" s="241"/>
      <c r="Q22" s="32"/>
    </row>
    <row r="23" spans="1:17">
      <c r="A23" s="18"/>
      <c r="B23" s="18"/>
      <c r="L23" s="48"/>
      <c r="M23" s="48"/>
      <c r="N23" s="84"/>
      <c r="O23" s="50" t="e">
        <f>VLOOKUP("X3",DS,16,0)</f>
        <v>#N/A</v>
      </c>
      <c r="P23" s="44" t="s">
        <v>27</v>
      </c>
      <c r="Q23" s="32"/>
    </row>
    <row r="24" spans="1:17" s="7" customFormat="1" ht="12.75" customHeight="1">
      <c r="A24" s="17" t="s">
        <v>63</v>
      </c>
      <c r="B24" s="86"/>
      <c r="C24" s="53" t="e">
        <f>VLOOKUP("X3",DS,14,0)</f>
        <v>#N/A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43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101</v>
      </c>
      <c r="B27" s="22"/>
      <c r="E27" s="45"/>
      <c r="F27" s="17" t="s">
        <v>74</v>
      </c>
      <c r="K27" s="83"/>
      <c r="L27" s="17"/>
      <c r="N27" s="45"/>
      <c r="O27" s="79" t="s">
        <v>120</v>
      </c>
    </row>
    <row r="28" spans="1:17" ht="8.25" customHeight="1">
      <c r="A28" s="42" t="s">
        <v>51</v>
      </c>
      <c r="B28" s="21"/>
      <c r="C28" s="23"/>
      <c r="D28" s="23"/>
      <c r="E28" s="41"/>
      <c r="F28" s="28" t="s">
        <v>68</v>
      </c>
      <c r="K28" s="48"/>
      <c r="L28" s="28"/>
      <c r="N28" s="31"/>
      <c r="O28" s="77" t="s">
        <v>117</v>
      </c>
    </row>
    <row r="29" spans="1:17" ht="11.25" customHeight="1">
      <c r="A29" s="27" t="s">
        <v>64</v>
      </c>
      <c r="B29" s="22"/>
      <c r="C29" s="27" t="s">
        <v>66</v>
      </c>
      <c r="E29" s="31"/>
      <c r="F29" s="27" t="s">
        <v>69</v>
      </c>
      <c r="H29" s="27" t="s">
        <v>71</v>
      </c>
      <c r="K29" s="81" t="s">
        <v>115</v>
      </c>
      <c r="L29" s="27"/>
      <c r="N29" s="31"/>
      <c r="O29" s="79" t="s">
        <v>118</v>
      </c>
      <c r="P29" s="27"/>
    </row>
    <row r="30" spans="1:17" ht="9" customHeight="1">
      <c r="A30" s="28" t="s">
        <v>65</v>
      </c>
      <c r="B30" s="21"/>
      <c r="C30" s="28" t="s">
        <v>67</v>
      </c>
      <c r="E30" s="31"/>
      <c r="F30" s="28" t="s">
        <v>70</v>
      </c>
      <c r="H30" s="28" t="s">
        <v>72</v>
      </c>
      <c r="K30" s="77" t="s">
        <v>116</v>
      </c>
      <c r="L30" s="28"/>
      <c r="N30" s="31"/>
      <c r="O30" s="77" t="s">
        <v>119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44"/>
  <sheetViews>
    <sheetView topLeftCell="E25" workbookViewId="0">
      <selection activeCell="H41" sqref="H41:H44"/>
    </sheetView>
  </sheetViews>
  <sheetFormatPr defaultRowHeight="12.75"/>
  <cols>
    <col min="1" max="1" width="50.85546875" style="209" customWidth="1"/>
    <col min="2" max="2" width="2.42578125" style="209" customWidth="1"/>
    <col min="3" max="3" width="48.28515625" style="209" customWidth="1"/>
    <col min="4" max="4" width="0.85546875" style="209" hidden="1" customWidth="1"/>
    <col min="5" max="5" width="48.28515625" style="209" customWidth="1"/>
    <col min="6" max="6" width="2.42578125" style="209" customWidth="1"/>
    <col min="7" max="7" width="50.7109375" style="209" customWidth="1"/>
    <col min="8" max="8" width="48.28515625" style="209" customWidth="1"/>
    <col min="9" max="9" width="2.42578125" style="209" customWidth="1"/>
    <col min="10" max="10" width="50.7109375" style="209" customWidth="1"/>
    <col min="11" max="16384" width="9.140625" style="209"/>
  </cols>
  <sheetData>
    <row r="1" spans="1:10" ht="21" customHeight="1">
      <c r="A1" s="208" t="s">
        <v>128</v>
      </c>
      <c r="C1" s="210" t="s">
        <v>430</v>
      </c>
      <c r="E1" s="208" t="s">
        <v>432</v>
      </c>
      <c r="G1" s="208" t="s">
        <v>128</v>
      </c>
      <c r="H1" s="208" t="s">
        <v>439</v>
      </c>
      <c r="J1" s="208" t="s">
        <v>128</v>
      </c>
    </row>
    <row r="2" spans="1:10" ht="17.25" customHeight="1">
      <c r="A2" s="247" t="s">
        <v>435</v>
      </c>
      <c r="C2" s="247" t="s">
        <v>431</v>
      </c>
      <c r="E2" s="212" t="s">
        <v>433</v>
      </c>
      <c r="G2" s="247" t="s">
        <v>435</v>
      </c>
      <c r="H2" s="212" t="s">
        <v>440</v>
      </c>
      <c r="J2" s="247" t="s">
        <v>435</v>
      </c>
    </row>
    <row r="3" spans="1:10" ht="17.25" customHeight="1">
      <c r="A3" s="247"/>
      <c r="C3" s="247"/>
      <c r="E3" s="212" t="s">
        <v>438</v>
      </c>
      <c r="G3" s="247"/>
      <c r="H3" s="212" t="s">
        <v>441</v>
      </c>
      <c r="J3" s="247"/>
    </row>
    <row r="4" spans="1:10" ht="18.75" customHeight="1" thickBot="1">
      <c r="A4" s="211" t="s">
        <v>437</v>
      </c>
      <c r="C4" s="211" t="s">
        <v>436</v>
      </c>
      <c r="E4" s="211" t="s">
        <v>434</v>
      </c>
      <c r="G4" s="211" t="s">
        <v>437</v>
      </c>
      <c r="H4" s="211" t="s">
        <v>442</v>
      </c>
      <c r="J4" s="211" t="s">
        <v>437</v>
      </c>
    </row>
    <row r="5" spans="1:10" ht="11.25" customHeight="1" thickBot="1"/>
    <row r="6" spans="1:10" ht="21" customHeight="1">
      <c r="A6" s="208" t="s">
        <v>128</v>
      </c>
      <c r="C6" s="210" t="s">
        <v>430</v>
      </c>
      <c r="E6" s="208" t="s">
        <v>432</v>
      </c>
      <c r="G6" s="208" t="s">
        <v>128</v>
      </c>
      <c r="H6" s="208" t="s">
        <v>439</v>
      </c>
      <c r="J6" s="208" t="s">
        <v>128</v>
      </c>
    </row>
    <row r="7" spans="1:10" ht="18.75" customHeight="1">
      <c r="A7" s="247" t="s">
        <v>435</v>
      </c>
      <c r="C7" s="247" t="s">
        <v>431</v>
      </c>
      <c r="E7" s="212" t="s">
        <v>433</v>
      </c>
      <c r="G7" s="247" t="s">
        <v>435</v>
      </c>
      <c r="H7" s="212" t="s">
        <v>440</v>
      </c>
      <c r="J7" s="247" t="s">
        <v>435</v>
      </c>
    </row>
    <row r="8" spans="1:10" ht="18.75" customHeight="1">
      <c r="A8" s="247"/>
      <c r="C8" s="247"/>
      <c r="E8" s="212" t="s">
        <v>438</v>
      </c>
      <c r="G8" s="247"/>
      <c r="H8" s="212" t="s">
        <v>441</v>
      </c>
      <c r="J8" s="247"/>
    </row>
    <row r="9" spans="1:10" ht="18.75" customHeight="1" thickBot="1">
      <c r="A9" s="211" t="s">
        <v>437</v>
      </c>
      <c r="C9" s="211" t="s">
        <v>436</v>
      </c>
      <c r="E9" s="211" t="s">
        <v>434</v>
      </c>
      <c r="G9" s="211" t="s">
        <v>437</v>
      </c>
      <c r="H9" s="211" t="s">
        <v>442</v>
      </c>
      <c r="J9" s="211" t="s">
        <v>437</v>
      </c>
    </row>
    <row r="10" spans="1:10" ht="11.25" customHeight="1" thickBot="1"/>
    <row r="11" spans="1:10" ht="21" customHeight="1">
      <c r="A11" s="208" t="s">
        <v>128</v>
      </c>
      <c r="C11" s="210" t="s">
        <v>430</v>
      </c>
      <c r="E11" s="208" t="s">
        <v>432</v>
      </c>
      <c r="G11" s="208" t="s">
        <v>128</v>
      </c>
      <c r="H11" s="208" t="s">
        <v>439</v>
      </c>
      <c r="J11" s="208" t="s">
        <v>128</v>
      </c>
    </row>
    <row r="12" spans="1:10" ht="18.75" customHeight="1">
      <c r="A12" s="247" t="s">
        <v>435</v>
      </c>
      <c r="C12" s="247" t="s">
        <v>431</v>
      </c>
      <c r="E12" s="212" t="s">
        <v>433</v>
      </c>
      <c r="G12" s="247" t="s">
        <v>435</v>
      </c>
      <c r="H12" s="212" t="s">
        <v>440</v>
      </c>
      <c r="J12" s="247" t="s">
        <v>435</v>
      </c>
    </row>
    <row r="13" spans="1:10" ht="18.75" customHeight="1">
      <c r="A13" s="247"/>
      <c r="C13" s="247"/>
      <c r="E13" s="212" t="s">
        <v>438</v>
      </c>
      <c r="G13" s="247"/>
      <c r="H13" s="212" t="s">
        <v>441</v>
      </c>
      <c r="J13" s="247"/>
    </row>
    <row r="14" spans="1:10" ht="18.75" customHeight="1" thickBot="1">
      <c r="A14" s="211" t="s">
        <v>437</v>
      </c>
      <c r="C14" s="211" t="s">
        <v>436</v>
      </c>
      <c r="E14" s="211" t="s">
        <v>434</v>
      </c>
      <c r="G14" s="211" t="s">
        <v>437</v>
      </c>
      <c r="H14" s="211" t="s">
        <v>442</v>
      </c>
      <c r="J14" s="211" t="s">
        <v>437</v>
      </c>
    </row>
    <row r="15" spans="1:10" ht="11.25" customHeight="1" thickBot="1"/>
    <row r="16" spans="1:10" ht="21" customHeight="1">
      <c r="A16" s="208" t="s">
        <v>128</v>
      </c>
      <c r="C16" s="210" t="s">
        <v>430</v>
      </c>
      <c r="E16" s="208" t="s">
        <v>432</v>
      </c>
      <c r="G16" s="208" t="s">
        <v>128</v>
      </c>
      <c r="H16" s="208" t="s">
        <v>439</v>
      </c>
      <c r="J16" s="208" t="s">
        <v>128</v>
      </c>
    </row>
    <row r="17" spans="1:10" ht="18.75" customHeight="1">
      <c r="A17" s="247" t="s">
        <v>435</v>
      </c>
      <c r="C17" s="247" t="s">
        <v>431</v>
      </c>
      <c r="E17" s="212" t="s">
        <v>433</v>
      </c>
      <c r="G17" s="247" t="s">
        <v>435</v>
      </c>
      <c r="H17" s="212" t="s">
        <v>440</v>
      </c>
      <c r="J17" s="247" t="s">
        <v>435</v>
      </c>
    </row>
    <row r="18" spans="1:10" ht="18.75" customHeight="1">
      <c r="A18" s="247"/>
      <c r="C18" s="247"/>
      <c r="E18" s="212" t="s">
        <v>438</v>
      </c>
      <c r="G18" s="247"/>
      <c r="H18" s="212" t="s">
        <v>441</v>
      </c>
      <c r="J18" s="247"/>
    </row>
    <row r="19" spans="1:10" ht="18.75" customHeight="1" thickBot="1">
      <c r="A19" s="211" t="s">
        <v>437</v>
      </c>
      <c r="C19" s="211" t="s">
        <v>436</v>
      </c>
      <c r="E19" s="211" t="s">
        <v>434</v>
      </c>
      <c r="G19" s="211" t="s">
        <v>437</v>
      </c>
      <c r="H19" s="211" t="s">
        <v>442</v>
      </c>
      <c r="J19" s="211" t="s">
        <v>437</v>
      </c>
    </row>
    <row r="20" spans="1:10" ht="11.25" customHeight="1" thickBot="1"/>
    <row r="21" spans="1:10" ht="21" customHeight="1">
      <c r="A21" s="208" t="s">
        <v>128</v>
      </c>
      <c r="C21" s="210" t="s">
        <v>430</v>
      </c>
      <c r="E21" s="208" t="s">
        <v>432</v>
      </c>
      <c r="G21" s="208" t="s">
        <v>128</v>
      </c>
      <c r="H21" s="208" t="s">
        <v>439</v>
      </c>
      <c r="J21" s="208" t="s">
        <v>128</v>
      </c>
    </row>
    <row r="22" spans="1:10" ht="18.75" customHeight="1">
      <c r="A22" s="247" t="s">
        <v>435</v>
      </c>
      <c r="C22" s="247" t="s">
        <v>431</v>
      </c>
      <c r="E22" s="212" t="s">
        <v>433</v>
      </c>
      <c r="G22" s="247" t="s">
        <v>435</v>
      </c>
      <c r="H22" s="212" t="s">
        <v>440</v>
      </c>
      <c r="J22" s="247" t="s">
        <v>435</v>
      </c>
    </row>
    <row r="23" spans="1:10" ht="18.75" customHeight="1">
      <c r="A23" s="247"/>
      <c r="C23" s="247"/>
      <c r="E23" s="212" t="s">
        <v>438</v>
      </c>
      <c r="G23" s="247"/>
      <c r="H23" s="212" t="s">
        <v>441</v>
      </c>
      <c r="J23" s="247"/>
    </row>
    <row r="24" spans="1:10" ht="18.75" customHeight="1" thickBot="1">
      <c r="A24" s="211" t="s">
        <v>437</v>
      </c>
      <c r="C24" s="211" t="s">
        <v>436</v>
      </c>
      <c r="E24" s="211" t="s">
        <v>434</v>
      </c>
      <c r="G24" s="211" t="s">
        <v>437</v>
      </c>
      <c r="H24" s="211" t="s">
        <v>442</v>
      </c>
      <c r="J24" s="211" t="s">
        <v>437</v>
      </c>
    </row>
    <row r="25" spans="1:10" ht="11.25" customHeight="1" thickBot="1"/>
    <row r="26" spans="1:10" ht="21" customHeight="1">
      <c r="A26" s="208" t="s">
        <v>128</v>
      </c>
      <c r="C26" s="210" t="s">
        <v>430</v>
      </c>
      <c r="E26" s="208" t="s">
        <v>432</v>
      </c>
      <c r="G26" s="208" t="s">
        <v>128</v>
      </c>
      <c r="H26" s="208" t="s">
        <v>439</v>
      </c>
      <c r="J26" s="208" t="s">
        <v>128</v>
      </c>
    </row>
    <row r="27" spans="1:10" ht="18.75" customHeight="1">
      <c r="A27" s="247" t="s">
        <v>435</v>
      </c>
      <c r="C27" s="247" t="s">
        <v>431</v>
      </c>
      <c r="E27" s="212" t="s">
        <v>433</v>
      </c>
      <c r="G27" s="247" t="s">
        <v>435</v>
      </c>
      <c r="H27" s="212" t="s">
        <v>440</v>
      </c>
      <c r="J27" s="247" t="s">
        <v>435</v>
      </c>
    </row>
    <row r="28" spans="1:10" ht="18.75" customHeight="1">
      <c r="A28" s="247"/>
      <c r="C28" s="247"/>
      <c r="E28" s="212" t="s">
        <v>438</v>
      </c>
      <c r="G28" s="247"/>
      <c r="H28" s="212" t="s">
        <v>441</v>
      </c>
      <c r="J28" s="247"/>
    </row>
    <row r="29" spans="1:10" ht="17.25" customHeight="1" thickBot="1">
      <c r="A29" s="211" t="s">
        <v>437</v>
      </c>
      <c r="C29" s="211" t="s">
        <v>436</v>
      </c>
      <c r="E29" s="211" t="s">
        <v>434</v>
      </c>
      <c r="G29" s="211" t="s">
        <v>437</v>
      </c>
      <c r="H29" s="211" t="s">
        <v>442</v>
      </c>
      <c r="J29" s="211" t="s">
        <v>437</v>
      </c>
    </row>
    <row r="30" spans="1:10" ht="11.25" customHeight="1" thickBot="1"/>
    <row r="31" spans="1:10" ht="21" customHeight="1">
      <c r="A31" s="208" t="s">
        <v>128</v>
      </c>
      <c r="C31" s="210" t="s">
        <v>430</v>
      </c>
      <c r="E31" s="208" t="s">
        <v>432</v>
      </c>
      <c r="G31" s="208" t="s">
        <v>128</v>
      </c>
      <c r="H31" s="208" t="s">
        <v>439</v>
      </c>
      <c r="J31" s="208" t="s">
        <v>128</v>
      </c>
    </row>
    <row r="32" spans="1:10" ht="18.75" customHeight="1">
      <c r="A32" s="247" t="s">
        <v>435</v>
      </c>
      <c r="C32" s="247" t="s">
        <v>431</v>
      </c>
      <c r="E32" s="212" t="s">
        <v>433</v>
      </c>
      <c r="G32" s="247" t="s">
        <v>435</v>
      </c>
      <c r="H32" s="212" t="s">
        <v>440</v>
      </c>
      <c r="J32" s="247" t="s">
        <v>435</v>
      </c>
    </row>
    <row r="33" spans="1:10" ht="18.75" customHeight="1">
      <c r="A33" s="247"/>
      <c r="C33" s="247"/>
      <c r="E33" s="212" t="s">
        <v>438</v>
      </c>
      <c r="G33" s="247"/>
      <c r="H33" s="212" t="s">
        <v>441</v>
      </c>
      <c r="J33" s="247"/>
    </row>
    <row r="34" spans="1:10" ht="18.75" customHeight="1" thickBot="1">
      <c r="A34" s="211" t="s">
        <v>437</v>
      </c>
      <c r="C34" s="211" t="s">
        <v>436</v>
      </c>
      <c r="E34" s="211" t="s">
        <v>434</v>
      </c>
      <c r="G34" s="211" t="s">
        <v>437</v>
      </c>
      <c r="H34" s="211" t="s">
        <v>442</v>
      </c>
      <c r="J34" s="211" t="s">
        <v>437</v>
      </c>
    </row>
    <row r="35" spans="1:10" ht="13.5" thickBot="1"/>
    <row r="36" spans="1:10" ht="21" customHeight="1">
      <c r="A36" s="208" t="s">
        <v>128</v>
      </c>
      <c r="C36" s="210" t="s">
        <v>430</v>
      </c>
      <c r="E36" s="208" t="s">
        <v>432</v>
      </c>
      <c r="G36" s="208" t="s">
        <v>128</v>
      </c>
      <c r="H36" s="208" t="s">
        <v>439</v>
      </c>
      <c r="J36" s="208" t="s">
        <v>128</v>
      </c>
    </row>
    <row r="37" spans="1:10" ht="18.75" customHeight="1">
      <c r="A37" s="247" t="s">
        <v>435</v>
      </c>
      <c r="C37" s="247" t="s">
        <v>431</v>
      </c>
      <c r="E37" s="212" t="s">
        <v>433</v>
      </c>
      <c r="G37" s="247" t="s">
        <v>435</v>
      </c>
      <c r="H37" s="212" t="s">
        <v>440</v>
      </c>
      <c r="J37" s="247" t="s">
        <v>435</v>
      </c>
    </row>
    <row r="38" spans="1:10" ht="18.75" customHeight="1">
      <c r="A38" s="247"/>
      <c r="C38" s="247"/>
      <c r="E38" s="212" t="s">
        <v>438</v>
      </c>
      <c r="G38" s="247"/>
      <c r="H38" s="212" t="s">
        <v>441</v>
      </c>
      <c r="J38" s="247"/>
    </row>
    <row r="39" spans="1:10" ht="17.25" customHeight="1" thickBot="1">
      <c r="A39" s="211" t="s">
        <v>437</v>
      </c>
      <c r="C39" s="211" t="s">
        <v>436</v>
      </c>
      <c r="E39" s="211" t="s">
        <v>434</v>
      </c>
      <c r="G39" s="211" t="s">
        <v>437</v>
      </c>
      <c r="H39" s="211" t="s">
        <v>442</v>
      </c>
      <c r="J39" s="211" t="s">
        <v>437</v>
      </c>
    </row>
    <row r="40" spans="1:10" ht="11.25" customHeight="1" thickBot="1"/>
    <row r="41" spans="1:10" ht="21" customHeight="1">
      <c r="A41" s="208" t="s">
        <v>128</v>
      </c>
      <c r="C41" s="210" t="s">
        <v>430</v>
      </c>
      <c r="E41" s="208" t="s">
        <v>432</v>
      </c>
      <c r="G41" s="208" t="s">
        <v>128</v>
      </c>
      <c r="H41" s="208" t="s">
        <v>439</v>
      </c>
      <c r="J41" s="208" t="s">
        <v>128</v>
      </c>
    </row>
    <row r="42" spans="1:10" ht="18.75" customHeight="1">
      <c r="A42" s="247" t="s">
        <v>435</v>
      </c>
      <c r="C42" s="247" t="s">
        <v>431</v>
      </c>
      <c r="E42" s="212" t="s">
        <v>433</v>
      </c>
      <c r="G42" s="247" t="s">
        <v>435</v>
      </c>
      <c r="H42" s="212" t="s">
        <v>440</v>
      </c>
      <c r="J42" s="247" t="s">
        <v>435</v>
      </c>
    </row>
    <row r="43" spans="1:10" ht="18.75" customHeight="1">
      <c r="A43" s="247"/>
      <c r="C43" s="247"/>
      <c r="E43" s="212" t="s">
        <v>438</v>
      </c>
      <c r="G43" s="247"/>
      <c r="H43" s="212" t="s">
        <v>441</v>
      </c>
      <c r="J43" s="247"/>
    </row>
    <row r="44" spans="1:10" ht="18.75" customHeight="1" thickBot="1">
      <c r="A44" s="211" t="s">
        <v>437</v>
      </c>
      <c r="C44" s="211" t="s">
        <v>436</v>
      </c>
      <c r="E44" s="211" t="s">
        <v>434</v>
      </c>
      <c r="G44" s="211" t="s">
        <v>437</v>
      </c>
      <c r="H44" s="211" t="s">
        <v>442</v>
      </c>
      <c r="J44" s="211" t="s">
        <v>437</v>
      </c>
    </row>
  </sheetData>
  <mergeCells count="36">
    <mergeCell ref="J27:J28"/>
    <mergeCell ref="J32:J33"/>
    <mergeCell ref="J37:J38"/>
    <mergeCell ref="J42:J43"/>
    <mergeCell ref="J2:J3"/>
    <mergeCell ref="J7:J8"/>
    <mergeCell ref="J12:J13"/>
    <mergeCell ref="J17:J18"/>
    <mergeCell ref="J22:J23"/>
    <mergeCell ref="A37:A38"/>
    <mergeCell ref="C37:C38"/>
    <mergeCell ref="G37:G38"/>
    <mergeCell ref="A42:A43"/>
    <mergeCell ref="C42:C43"/>
    <mergeCell ref="G42:G43"/>
    <mergeCell ref="A32:A33"/>
    <mergeCell ref="C32:C33"/>
    <mergeCell ref="G2:G3"/>
    <mergeCell ref="G7:G8"/>
    <mergeCell ref="G12:G13"/>
    <mergeCell ref="G17:G18"/>
    <mergeCell ref="G22:G23"/>
    <mergeCell ref="G27:G28"/>
    <mergeCell ref="G32:G33"/>
    <mergeCell ref="A17:A18"/>
    <mergeCell ref="C17:C18"/>
    <mergeCell ref="A22:A23"/>
    <mergeCell ref="C22:C23"/>
    <mergeCell ref="A27:A28"/>
    <mergeCell ref="C27:C28"/>
    <mergeCell ref="A2:A3"/>
    <mergeCell ref="C2:C3"/>
    <mergeCell ref="A7:A8"/>
    <mergeCell ref="C7:C8"/>
    <mergeCell ref="A12:A13"/>
    <mergeCell ref="C12:C13"/>
  </mergeCells>
  <pageMargins left="0.16" right="0.13" top="0.42" bottom="0.16" header="0.35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2" sqref="B2:B3"/>
    </sheetView>
  </sheetViews>
  <sheetFormatPr defaultRowHeight="23.25" customHeight="1"/>
  <cols>
    <col min="1" max="1" width="35.7109375" style="110" customWidth="1"/>
    <col min="2" max="2" width="35.28515625" style="110" customWidth="1"/>
    <col min="3" max="4" width="35.5703125" style="110" customWidth="1"/>
    <col min="5" max="16384" width="9.140625" style="110"/>
  </cols>
  <sheetData>
    <row r="1" spans="1:4" s="106" customFormat="1" ht="23.25" customHeight="1">
      <c r="A1" s="105" t="s">
        <v>232</v>
      </c>
      <c r="B1" s="105" t="s">
        <v>233</v>
      </c>
      <c r="C1" s="105" t="s">
        <v>234</v>
      </c>
      <c r="D1" s="105"/>
    </row>
    <row r="2" spans="1:4" s="106" customFormat="1" ht="23.25" customHeight="1">
      <c r="A2" s="107" t="s">
        <v>235</v>
      </c>
      <c r="B2" s="107" t="s">
        <v>236</v>
      </c>
      <c r="C2" s="107" t="s">
        <v>236</v>
      </c>
      <c r="D2" s="107" t="s">
        <v>237</v>
      </c>
    </row>
    <row r="3" spans="1:4" s="106" customFormat="1" ht="23.25" customHeight="1">
      <c r="A3" s="108" t="s">
        <v>238</v>
      </c>
      <c r="B3" s="108" t="s">
        <v>239</v>
      </c>
      <c r="C3" s="108" t="s">
        <v>240</v>
      </c>
      <c r="D3" s="108" t="s">
        <v>241</v>
      </c>
    </row>
    <row r="4" spans="1:4" s="106" customFormat="1" ht="23.25" customHeight="1">
      <c r="A4" s="109" t="s">
        <v>242</v>
      </c>
      <c r="B4" s="109" t="s">
        <v>243</v>
      </c>
      <c r="C4" s="109" t="s">
        <v>244</v>
      </c>
      <c r="D4" s="109" t="s">
        <v>245</v>
      </c>
    </row>
    <row r="5" spans="1:4" s="106" customFormat="1" ht="23.25" customHeight="1">
      <c r="A5" s="105"/>
      <c r="B5" s="105" t="s">
        <v>246</v>
      </c>
      <c r="C5" s="105" t="s">
        <v>247</v>
      </c>
      <c r="D5" s="105"/>
    </row>
    <row r="6" spans="1:4" s="106" customFormat="1" ht="23.25" customHeight="1">
      <c r="A6" s="107" t="s">
        <v>237</v>
      </c>
      <c r="B6" s="107" t="s">
        <v>248</v>
      </c>
      <c r="C6" s="107" t="s">
        <v>248</v>
      </c>
      <c r="D6" s="107" t="s">
        <v>237</v>
      </c>
    </row>
    <row r="7" spans="1:4" s="106" customFormat="1" ht="23.25" customHeight="1">
      <c r="A7" s="108" t="s">
        <v>241</v>
      </c>
      <c r="B7" s="108" t="s">
        <v>249</v>
      </c>
      <c r="C7" s="108" t="s">
        <v>250</v>
      </c>
      <c r="D7" s="108" t="s">
        <v>241</v>
      </c>
    </row>
    <row r="8" spans="1:4" s="106" customFormat="1" ht="23.25" customHeight="1">
      <c r="A8" s="109" t="s">
        <v>245</v>
      </c>
      <c r="B8" s="109" t="s">
        <v>251</v>
      </c>
      <c r="C8" s="109" t="s">
        <v>252</v>
      </c>
      <c r="D8" s="109" t="s">
        <v>245</v>
      </c>
    </row>
    <row r="9" spans="1:4" s="106" customFormat="1" ht="23.25" customHeight="1">
      <c r="A9" s="105"/>
      <c r="B9" s="105" t="s">
        <v>253</v>
      </c>
      <c r="C9" s="105" t="s">
        <v>254</v>
      </c>
      <c r="D9" s="105"/>
    </row>
    <row r="10" spans="1:4" s="106" customFormat="1" ht="23.25" customHeight="1">
      <c r="A10" s="107" t="s">
        <v>237</v>
      </c>
      <c r="B10" s="107" t="s">
        <v>255</v>
      </c>
      <c r="C10" s="107" t="s">
        <v>255</v>
      </c>
      <c r="D10" s="107" t="s">
        <v>237</v>
      </c>
    </row>
    <row r="11" spans="1:4" s="106" customFormat="1" ht="23.25" customHeight="1">
      <c r="A11" s="108" t="s">
        <v>241</v>
      </c>
      <c r="B11" s="108" t="s">
        <v>256</v>
      </c>
      <c r="C11" s="108" t="s">
        <v>257</v>
      </c>
      <c r="D11" s="108" t="s">
        <v>241</v>
      </c>
    </row>
    <row r="12" spans="1:4" s="106" customFormat="1" ht="23.25" customHeight="1">
      <c r="A12" s="109" t="s">
        <v>245</v>
      </c>
      <c r="B12" s="109" t="s">
        <v>251</v>
      </c>
      <c r="C12" s="109" t="s">
        <v>252</v>
      </c>
      <c r="D12" s="109" t="s">
        <v>245</v>
      </c>
    </row>
    <row r="13" spans="1:4" s="106" customFormat="1" ht="23.25" customHeight="1">
      <c r="A13" s="105"/>
      <c r="B13" s="105"/>
      <c r="C13" s="105"/>
      <c r="D13" s="105"/>
    </row>
    <row r="14" spans="1:4" s="106" customFormat="1" ht="23.25" customHeight="1">
      <c r="A14" s="107" t="s">
        <v>237</v>
      </c>
      <c r="B14" s="107" t="s">
        <v>237</v>
      </c>
      <c r="C14" s="107" t="s">
        <v>237</v>
      </c>
      <c r="D14" s="107" t="s">
        <v>237</v>
      </c>
    </row>
    <row r="15" spans="1:4" s="106" customFormat="1" ht="23.25" customHeight="1">
      <c r="A15" s="108" t="s">
        <v>241</v>
      </c>
      <c r="B15" s="108" t="s">
        <v>241</v>
      </c>
      <c r="C15" s="108" t="s">
        <v>241</v>
      </c>
      <c r="D15" s="108" t="s">
        <v>241</v>
      </c>
    </row>
    <row r="16" spans="1:4" s="106" customFormat="1" ht="23.25" customHeight="1">
      <c r="A16" s="109" t="s">
        <v>245</v>
      </c>
      <c r="B16" s="109" t="s">
        <v>245</v>
      </c>
      <c r="C16" s="109" t="s">
        <v>245</v>
      </c>
      <c r="D16" s="109" t="s">
        <v>245</v>
      </c>
    </row>
  </sheetData>
  <pageMargins left="0.16" right="0.15" top="0.31" bottom="0.15" header="0.16" footer="0.1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8"/>
  <sheetViews>
    <sheetView workbookViewId="0">
      <pane xSplit="4" ySplit="3" topLeftCell="E7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"/>
    </sheetView>
  </sheetViews>
  <sheetFormatPr defaultRowHeight="17.25" customHeight="1"/>
  <cols>
    <col min="1" max="1" width="4" style="174" customWidth="1"/>
    <col min="2" max="2" width="16.140625" style="175" customWidth="1"/>
    <col min="3" max="4" width="8.28515625" style="176" customWidth="1"/>
    <col min="5" max="5" width="12.7109375" style="177" customWidth="1"/>
    <col min="6" max="6" width="11" style="181" customWidth="1"/>
    <col min="7" max="7" width="8" style="177" hidden="1" customWidth="1"/>
    <col min="8" max="8" width="7.5703125" style="229" customWidth="1"/>
    <col min="9" max="9" width="11" style="177" customWidth="1"/>
    <col min="10" max="10" width="10" style="177" hidden="1" customWidth="1"/>
    <col min="11" max="11" width="13.140625" style="177" customWidth="1"/>
    <col min="12" max="12" width="11" style="181" customWidth="1"/>
    <col min="13" max="13" width="10.7109375" style="177" customWidth="1"/>
    <col min="14" max="14" width="7.28515625" style="177" customWidth="1"/>
    <col min="15" max="15" width="8.140625" style="175" customWidth="1"/>
    <col min="16" max="16" width="8" style="174" customWidth="1"/>
    <col min="17" max="17" width="6.28515625" style="174" customWidth="1"/>
    <col min="18" max="18" width="16.28515625" style="174" customWidth="1"/>
    <col min="19" max="19" width="15.85546875" style="175" customWidth="1"/>
    <col min="20" max="16384" width="9.140625" style="175"/>
  </cols>
  <sheetData>
    <row r="1" spans="1:19" s="121" customFormat="1" ht="17.25" customHeight="1">
      <c r="A1" s="111"/>
      <c r="B1" s="230" t="s">
        <v>447</v>
      </c>
      <c r="C1" s="113"/>
      <c r="D1" s="114"/>
      <c r="E1" s="115"/>
      <c r="F1" s="116"/>
      <c r="G1" s="115"/>
      <c r="H1" s="215"/>
      <c r="I1" s="115"/>
      <c r="J1" s="115"/>
      <c r="K1" s="115"/>
      <c r="L1" s="216"/>
      <c r="M1" s="216"/>
      <c r="N1" s="216"/>
      <c r="O1" s="216"/>
      <c r="P1" s="216"/>
      <c r="Q1" s="111"/>
      <c r="R1" s="111"/>
    </row>
    <row r="2" spans="1:19" s="122" customFormat="1" ht="16.5" customHeight="1">
      <c r="A2" s="250" t="s">
        <v>259</v>
      </c>
      <c r="B2" s="250" t="s">
        <v>260</v>
      </c>
      <c r="C2" s="253" t="s">
        <v>261</v>
      </c>
      <c r="D2" s="253"/>
      <c r="E2" s="254" t="s">
        <v>262</v>
      </c>
      <c r="F2" s="254"/>
      <c r="G2" s="254"/>
      <c r="H2" s="248" t="s">
        <v>263</v>
      </c>
      <c r="I2" s="248"/>
      <c r="J2" s="248"/>
      <c r="K2" s="248" t="s">
        <v>264</v>
      </c>
      <c r="L2" s="248"/>
      <c r="M2" s="248" t="s">
        <v>265</v>
      </c>
      <c r="N2" s="248"/>
      <c r="O2" s="248"/>
      <c r="P2" s="248"/>
      <c r="Q2" s="249" t="s">
        <v>266</v>
      </c>
      <c r="R2" s="250" t="s">
        <v>267</v>
      </c>
    </row>
    <row r="3" spans="1:19" s="122" customFormat="1" ht="33" customHeight="1">
      <c r="A3" s="250"/>
      <c r="B3" s="250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217" t="s">
        <v>271</v>
      </c>
      <c r="I3" s="214" t="s">
        <v>270</v>
      </c>
      <c r="J3" s="214" t="s">
        <v>26</v>
      </c>
      <c r="K3" s="214" t="s">
        <v>270</v>
      </c>
      <c r="L3" s="125" t="s">
        <v>26</v>
      </c>
      <c r="M3" s="214" t="s">
        <v>273</v>
      </c>
      <c r="N3" s="213" t="s">
        <v>275</v>
      </c>
      <c r="O3" s="218" t="s">
        <v>307</v>
      </c>
      <c r="P3" s="218" t="s">
        <v>276</v>
      </c>
      <c r="Q3" s="249"/>
      <c r="R3" s="250"/>
    </row>
    <row r="4" spans="1:19" s="132" customFormat="1" ht="17.25" customHeight="1">
      <c r="A4" s="128">
        <f>ROW()-3</f>
        <v>1</v>
      </c>
      <c r="B4" s="133" t="s">
        <v>304</v>
      </c>
      <c r="C4" s="134">
        <v>42552</v>
      </c>
      <c r="D4" s="134">
        <v>42736</v>
      </c>
      <c r="E4" s="135"/>
      <c r="F4" s="135">
        <v>43000</v>
      </c>
      <c r="G4" s="136"/>
      <c r="H4" s="134"/>
      <c r="I4" s="135"/>
      <c r="J4" s="135"/>
      <c r="K4" s="130"/>
      <c r="L4" s="130">
        <f>F4-J4</f>
        <v>43000</v>
      </c>
      <c r="M4" s="135"/>
      <c r="N4" s="135">
        <f>IF((LEFT(B4,4)="1402"),F4*Q4*DATEDIF(DATE(YEAR(P4),MONTH(P4)-1,IF(MONTH(C4)=(MONTH(P4)-1),DAY(C4),16)),P4,"d")/360,0)</f>
        <v>92.569444444444443</v>
      </c>
      <c r="O4" s="135">
        <f>IF((LEFT(B4,4)="1025"),F4*Q4*DATEDIF(DATE(YEAR(P4),MONTH(P4)-1,IF(MONTH(C4)=(MONTH($N$1)-1),DAY(C4),16)),P4,"d")/360,0)</f>
        <v>0</v>
      </c>
      <c r="P4" s="129">
        <v>42751</v>
      </c>
      <c r="Q4" s="187">
        <v>2.5000000000000001E-2</v>
      </c>
      <c r="R4" s="138" t="s">
        <v>277</v>
      </c>
    </row>
    <row r="5" spans="1:19" s="132" customFormat="1" ht="17.25" customHeight="1">
      <c r="A5" s="128">
        <f t="shared" ref="A5:A7" si="0">ROW()-3</f>
        <v>2</v>
      </c>
      <c r="B5" s="133" t="s">
        <v>303</v>
      </c>
      <c r="C5" s="134">
        <v>42586</v>
      </c>
      <c r="D5" s="134">
        <v>42770</v>
      </c>
      <c r="E5" s="135"/>
      <c r="F5" s="135">
        <v>52300</v>
      </c>
      <c r="G5" s="136"/>
      <c r="H5" s="134"/>
      <c r="I5" s="135"/>
      <c r="J5" s="135"/>
      <c r="K5" s="130"/>
      <c r="L5" s="130">
        <f>F5-J5</f>
        <v>52300</v>
      </c>
      <c r="M5" s="135"/>
      <c r="N5" s="135">
        <f>IF((LEFT(B5,4)="1402"),F5*Q5*DATEDIF(DATE(YEAR(P5),MONTH(P5)-1,IF(MONTH(C5)=(MONTH(P5)-1),DAY(C5),16)),P5,"d")/360,0)</f>
        <v>112.59027777777777</v>
      </c>
      <c r="O5" s="135">
        <f>IF((LEFT(B5,4)="1025"),F5*Q5*DATEDIF(DATE(YEAR(P5),MONTH(P5)-1,IF(MONTH(C5)=(MONTH($N$1)-1),DAY(C5),16)),P5,"d")/360,0)</f>
        <v>0</v>
      </c>
      <c r="P5" s="129">
        <v>42751</v>
      </c>
      <c r="Q5" s="187">
        <v>2.5000000000000001E-2</v>
      </c>
      <c r="R5" s="138" t="s">
        <v>278</v>
      </c>
    </row>
    <row r="6" spans="1:19" s="132" customFormat="1" ht="17.25" customHeight="1">
      <c r="A6" s="128">
        <f t="shared" si="0"/>
        <v>3</v>
      </c>
      <c r="B6" s="133" t="s">
        <v>428</v>
      </c>
      <c r="C6" s="134">
        <v>42718</v>
      </c>
      <c r="D6" s="134">
        <v>42900</v>
      </c>
      <c r="E6" s="135"/>
      <c r="F6" s="135">
        <v>93000</v>
      </c>
      <c r="G6" s="136"/>
      <c r="H6" s="134"/>
      <c r="I6" s="135"/>
      <c r="J6" s="135"/>
      <c r="K6" s="130"/>
      <c r="L6" s="130">
        <f>F6-J6</f>
        <v>93000</v>
      </c>
      <c r="M6" s="135"/>
      <c r="N6" s="135">
        <f>IF((LEFT(B6,4)="1402"),F6*Q6*DATEDIF(DATE(YEAR(P6),MONTH(P6)-1,IF(MONTH(C6)=(MONTH(P6)-1),DAY(C6),16)),P6,"d")/360,0)</f>
        <v>200.20833333333334</v>
      </c>
      <c r="O6" s="135">
        <f>IF((LEFT(B6,4)="1025"),F6*Q6*DATEDIF(DATE(YEAR(P6),MONTH(P6)-1,IF(MONTH(C6)=(MONTH($N$1)-1),DAY(C6),16)),P6,"d")/360,0)</f>
        <v>0</v>
      </c>
      <c r="P6" s="129">
        <v>42751</v>
      </c>
      <c r="Q6" s="187">
        <v>2.5000000000000001E-2</v>
      </c>
      <c r="R6" s="138" t="s">
        <v>277</v>
      </c>
    </row>
    <row r="7" spans="1:19" s="132" customFormat="1" ht="17.25" customHeight="1">
      <c r="A7" s="128">
        <f t="shared" si="0"/>
        <v>4</v>
      </c>
      <c r="B7" s="219" t="s">
        <v>427</v>
      </c>
      <c r="C7" s="134">
        <v>42710</v>
      </c>
      <c r="D7" s="134">
        <v>42892</v>
      </c>
      <c r="E7" s="135"/>
      <c r="F7" s="135">
        <v>70500</v>
      </c>
      <c r="G7" s="136"/>
      <c r="H7" s="134"/>
      <c r="I7" s="135"/>
      <c r="J7" s="135"/>
      <c r="K7" s="130"/>
      <c r="L7" s="130">
        <f>F7-J7</f>
        <v>70500</v>
      </c>
      <c r="M7" s="135"/>
      <c r="N7" s="135">
        <f>IF((LEFT(B7,4)="1402"),F7*Q7*DATEDIF(DATE(YEAR(P7),MONTH(P7)-1,IF(MONTH(C7)=(MONTH(P7)-1),DAY(C7),16)),P7,"d")/360,0)</f>
        <v>151.77083333333334</v>
      </c>
      <c r="O7" s="135">
        <f>IF((LEFT(B7,4)="1025"),F7*Q7*DATEDIF(DATE(YEAR(P7),MONTH(P7)-1,IF(MONTH(C7)=(MONTH($N$1)-1),DAY(C7),16)),P7,"d")/360,0)</f>
        <v>0</v>
      </c>
      <c r="P7" s="129">
        <v>42751</v>
      </c>
      <c r="Q7" s="187">
        <v>2.5000000000000001E-2</v>
      </c>
      <c r="R7" s="138" t="s">
        <v>277</v>
      </c>
    </row>
    <row r="8" spans="1:19" s="132" customFormat="1" ht="17.25" customHeight="1">
      <c r="A8" s="220"/>
      <c r="B8" s="221"/>
      <c r="C8" s="158"/>
      <c r="D8" s="158"/>
      <c r="E8" s="222"/>
      <c r="F8" s="222"/>
      <c r="G8" s="223"/>
      <c r="H8" s="158"/>
      <c r="I8" s="222"/>
      <c r="J8" s="222"/>
      <c r="K8" s="222"/>
      <c r="L8" s="222"/>
      <c r="M8" s="222"/>
      <c r="N8" s="222"/>
      <c r="O8" s="222"/>
      <c r="P8" s="158"/>
      <c r="Q8" s="224"/>
      <c r="R8" s="225"/>
    </row>
    <row r="9" spans="1:19" s="144" customFormat="1" ht="17.25" customHeight="1">
      <c r="A9" s="251" t="s">
        <v>279</v>
      </c>
      <c r="B9" s="251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1">
        <f>SUM(N4:N8)</f>
        <v>557.13888888888891</v>
      </c>
      <c r="O9" s="141">
        <f>SUM(O4:O8)</f>
        <v>0</v>
      </c>
      <c r="P9" s="139"/>
      <c r="Q9" s="226"/>
      <c r="R9" s="143"/>
      <c r="S9" s="132"/>
    </row>
    <row r="10" spans="1:19" s="132" customFormat="1" ht="17.25" customHeight="1">
      <c r="A10" s="128">
        <f t="shared" ref="A10:A25" si="1">ROW()-9</f>
        <v>1</v>
      </c>
      <c r="B10" s="133" t="s">
        <v>301</v>
      </c>
      <c r="C10" s="134">
        <v>42600</v>
      </c>
      <c r="D10" s="134">
        <v>42784</v>
      </c>
      <c r="E10" s="136"/>
      <c r="F10" s="135">
        <v>63000</v>
      </c>
      <c r="G10" s="136"/>
      <c r="H10" s="134"/>
      <c r="I10" s="135"/>
      <c r="J10" s="135"/>
      <c r="K10" s="130"/>
      <c r="L10" s="130">
        <f t="shared" ref="L10:L25" si="2">F10-J10</f>
        <v>63000</v>
      </c>
      <c r="M10" s="135"/>
      <c r="N10" s="135">
        <f t="shared" ref="N10:N25" si="3">IF((LEFT(B10,4)="1402"),F10*Q10*DATEDIF(DATE(YEAR(P10),MONTH(P10)-1,IF(MONTH(C10)=(MONTH(P10)-1),DAY(C10),16)),P10,"d")/360,0)</f>
        <v>0</v>
      </c>
      <c r="O10" s="135">
        <f t="shared" ref="O10:O25" si="4">IF((LEFT(B10,4)="1025"),F10*Q10*DATEDIF(DATE(YEAR(P10),IF(MONTH(P10)=MONTH(C10),MONTH(P10),MONTH(P10)-1),IF(OR(MONTH(P10)=MONTH(C10),MONTH(C10)=(MONTH(P10)-1)),DAY(C10),DAY(P10))),P10,"d")/360,0)</f>
        <v>162.75</v>
      </c>
      <c r="P10" s="129">
        <v>42757</v>
      </c>
      <c r="Q10" s="187">
        <v>0.03</v>
      </c>
      <c r="R10" s="138" t="s">
        <v>380</v>
      </c>
      <c r="S10" s="191"/>
    </row>
    <row r="11" spans="1:19" s="132" customFormat="1" ht="17.25" customHeight="1">
      <c r="A11" s="128">
        <f t="shared" si="1"/>
        <v>2</v>
      </c>
      <c r="B11" s="133" t="s">
        <v>306</v>
      </c>
      <c r="C11" s="134">
        <v>42612</v>
      </c>
      <c r="D11" s="134">
        <v>42794</v>
      </c>
      <c r="E11" s="136"/>
      <c r="F11" s="135">
        <v>89500</v>
      </c>
      <c r="G11" s="136"/>
      <c r="H11" s="134"/>
      <c r="I11" s="135"/>
      <c r="J11" s="135"/>
      <c r="K11" s="130"/>
      <c r="L11" s="130">
        <f t="shared" si="2"/>
        <v>89500</v>
      </c>
      <c r="M11" s="135"/>
      <c r="N11" s="135">
        <f t="shared" si="3"/>
        <v>0</v>
      </c>
      <c r="O11" s="135">
        <f t="shared" si="4"/>
        <v>231.20833333333334</v>
      </c>
      <c r="P11" s="129">
        <v>42757</v>
      </c>
      <c r="Q11" s="187">
        <v>0.03</v>
      </c>
      <c r="R11" s="138" t="s">
        <v>380</v>
      </c>
      <c r="S11" s="191"/>
    </row>
    <row r="12" spans="1:19" s="132" customFormat="1" ht="17.25" customHeight="1">
      <c r="A12" s="128">
        <f t="shared" si="1"/>
        <v>3</v>
      </c>
      <c r="B12" s="133" t="s">
        <v>314</v>
      </c>
      <c r="C12" s="134">
        <v>42626</v>
      </c>
      <c r="D12" s="134">
        <v>42807</v>
      </c>
      <c r="E12" s="136"/>
      <c r="F12" s="135">
        <v>88000</v>
      </c>
      <c r="G12" s="136"/>
      <c r="H12" s="134"/>
      <c r="I12" s="135"/>
      <c r="J12" s="135"/>
      <c r="K12" s="130"/>
      <c r="L12" s="130">
        <f t="shared" si="2"/>
        <v>88000</v>
      </c>
      <c r="M12" s="135"/>
      <c r="N12" s="135">
        <f t="shared" si="3"/>
        <v>0</v>
      </c>
      <c r="O12" s="135">
        <f t="shared" si="4"/>
        <v>227.33333333333334</v>
      </c>
      <c r="P12" s="129">
        <v>42757</v>
      </c>
      <c r="Q12" s="187">
        <v>0.03</v>
      </c>
      <c r="R12" s="138" t="s">
        <v>380</v>
      </c>
    </row>
    <row r="13" spans="1:19" s="132" customFormat="1" ht="17.25" customHeight="1">
      <c r="A13" s="128">
        <f t="shared" si="1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0"/>
      <c r="L13" s="130">
        <f t="shared" si="2"/>
        <v>96000</v>
      </c>
      <c r="M13" s="135"/>
      <c r="N13" s="135">
        <f t="shared" si="3"/>
        <v>0</v>
      </c>
      <c r="O13" s="135">
        <f t="shared" si="4"/>
        <v>248</v>
      </c>
      <c r="P13" s="129">
        <v>42757</v>
      </c>
      <c r="Q13" s="187">
        <v>0.03</v>
      </c>
      <c r="R13" s="138" t="s">
        <v>380</v>
      </c>
      <c r="S13" s="191"/>
    </row>
    <row r="14" spans="1:19" s="132" customFormat="1" ht="17.25" customHeight="1">
      <c r="A14" s="128">
        <f t="shared" si="1"/>
        <v>5</v>
      </c>
      <c r="B14" s="133" t="s">
        <v>379</v>
      </c>
      <c r="C14" s="134">
        <v>42660</v>
      </c>
      <c r="D14" s="134">
        <v>42842</v>
      </c>
      <c r="E14" s="136"/>
      <c r="F14" s="135">
        <v>96000</v>
      </c>
      <c r="G14" s="136"/>
      <c r="H14" s="134"/>
      <c r="I14" s="135"/>
      <c r="J14" s="135"/>
      <c r="K14" s="130"/>
      <c r="L14" s="130">
        <f t="shared" si="2"/>
        <v>96000</v>
      </c>
      <c r="M14" s="135"/>
      <c r="N14" s="135">
        <f t="shared" si="3"/>
        <v>0</v>
      </c>
      <c r="O14" s="135">
        <f t="shared" si="4"/>
        <v>248</v>
      </c>
      <c r="P14" s="129">
        <v>42757</v>
      </c>
      <c r="Q14" s="187">
        <v>0.03</v>
      </c>
      <c r="R14" s="138" t="s">
        <v>380</v>
      </c>
    </row>
    <row r="15" spans="1:19" s="132" customFormat="1" ht="17.25" customHeight="1">
      <c r="A15" s="128">
        <f t="shared" si="1"/>
        <v>6</v>
      </c>
      <c r="B15" s="133" t="s">
        <v>466</v>
      </c>
      <c r="C15" s="134">
        <v>42684</v>
      </c>
      <c r="D15" s="134">
        <v>42865</v>
      </c>
      <c r="E15" s="136"/>
      <c r="F15" s="135">
        <v>82000</v>
      </c>
      <c r="G15" s="136"/>
      <c r="H15" s="134"/>
      <c r="I15" s="135"/>
      <c r="J15" s="135"/>
      <c r="K15" s="130"/>
      <c r="L15" s="130">
        <f t="shared" si="2"/>
        <v>82000</v>
      </c>
      <c r="M15" s="135"/>
      <c r="N15" s="135">
        <f t="shared" si="3"/>
        <v>0</v>
      </c>
      <c r="O15" s="135">
        <f t="shared" si="4"/>
        <v>211.83333333333334</v>
      </c>
      <c r="P15" s="129">
        <v>42757</v>
      </c>
      <c r="Q15" s="187">
        <v>0.03</v>
      </c>
      <c r="R15" s="138" t="s">
        <v>380</v>
      </c>
    </row>
    <row r="16" spans="1:19" s="132" customFormat="1" ht="17.25" customHeight="1">
      <c r="A16" s="128">
        <f t="shared" si="1"/>
        <v>7</v>
      </c>
      <c r="B16" s="133" t="s">
        <v>467</v>
      </c>
      <c r="C16" s="134">
        <v>42689</v>
      </c>
      <c r="D16" s="134">
        <v>42870</v>
      </c>
      <c r="E16" s="136"/>
      <c r="F16" s="135">
        <v>89000</v>
      </c>
      <c r="G16" s="136"/>
      <c r="H16" s="134"/>
      <c r="I16" s="135"/>
      <c r="J16" s="135"/>
      <c r="K16" s="130"/>
      <c r="L16" s="130">
        <f t="shared" si="2"/>
        <v>89000</v>
      </c>
      <c r="M16" s="135"/>
      <c r="N16" s="135">
        <f t="shared" si="3"/>
        <v>0</v>
      </c>
      <c r="O16" s="135">
        <f t="shared" si="4"/>
        <v>229.91666666666666</v>
      </c>
      <c r="P16" s="129">
        <v>42757</v>
      </c>
      <c r="Q16" s="187">
        <v>0.03</v>
      </c>
      <c r="R16" s="138" t="s">
        <v>380</v>
      </c>
      <c r="S16" s="191"/>
    </row>
    <row r="17" spans="1:19" s="132" customFormat="1" ht="17.25" customHeight="1">
      <c r="A17" s="128">
        <f t="shared" si="1"/>
        <v>8</v>
      </c>
      <c r="B17" s="133" t="s">
        <v>468</v>
      </c>
      <c r="C17" s="162">
        <v>42717</v>
      </c>
      <c r="D17" s="134">
        <v>42899</v>
      </c>
      <c r="E17" s="136"/>
      <c r="F17" s="163">
        <v>50400</v>
      </c>
      <c r="G17" s="136"/>
      <c r="H17" s="162"/>
      <c r="I17" s="163"/>
      <c r="J17" s="163"/>
      <c r="K17" s="130"/>
      <c r="L17" s="130">
        <f t="shared" si="2"/>
        <v>50400</v>
      </c>
      <c r="M17" s="163"/>
      <c r="N17" s="135">
        <f t="shared" si="3"/>
        <v>0</v>
      </c>
      <c r="O17" s="135">
        <f t="shared" si="4"/>
        <v>130.19999999999999</v>
      </c>
      <c r="P17" s="129">
        <v>42757</v>
      </c>
      <c r="Q17" s="187">
        <v>0.03</v>
      </c>
      <c r="R17" s="138" t="s">
        <v>460</v>
      </c>
    </row>
    <row r="18" spans="1:19" s="132" customFormat="1" ht="17.25" customHeight="1">
      <c r="A18" s="128">
        <f t="shared" si="1"/>
        <v>9</v>
      </c>
      <c r="B18" s="133" t="s">
        <v>426</v>
      </c>
      <c r="C18" s="162">
        <v>42718</v>
      </c>
      <c r="D18" s="134">
        <v>42900</v>
      </c>
      <c r="E18" s="164"/>
      <c r="F18" s="163">
        <v>137000</v>
      </c>
      <c r="G18" s="136"/>
      <c r="H18" s="162"/>
      <c r="I18" s="163"/>
      <c r="J18" s="163"/>
      <c r="K18" s="130"/>
      <c r="L18" s="130">
        <f t="shared" si="2"/>
        <v>137000</v>
      </c>
      <c r="M18" s="163"/>
      <c r="N18" s="135">
        <f t="shared" si="3"/>
        <v>0</v>
      </c>
      <c r="O18" s="135">
        <f t="shared" si="4"/>
        <v>353.91666666666669</v>
      </c>
      <c r="P18" s="129">
        <v>42757</v>
      </c>
      <c r="Q18" s="187">
        <v>0.03</v>
      </c>
      <c r="R18" s="138" t="s">
        <v>380</v>
      </c>
      <c r="S18" s="201">
        <f>E17*Q17/12</f>
        <v>0</v>
      </c>
    </row>
    <row r="19" spans="1:19" s="132" customFormat="1" ht="17.25" customHeight="1">
      <c r="A19" s="128">
        <f t="shared" si="1"/>
        <v>10</v>
      </c>
      <c r="B19" s="133" t="s">
        <v>465</v>
      </c>
      <c r="C19" s="162">
        <v>42733</v>
      </c>
      <c r="D19" s="134">
        <v>42915</v>
      </c>
      <c r="E19" s="164"/>
      <c r="F19" s="163">
        <v>85000</v>
      </c>
      <c r="G19" s="136"/>
      <c r="H19" s="162"/>
      <c r="I19" s="163"/>
      <c r="J19" s="163"/>
      <c r="K19" s="130"/>
      <c r="L19" s="130">
        <f t="shared" si="2"/>
        <v>85000</v>
      </c>
      <c r="M19" s="163"/>
      <c r="N19" s="135">
        <f t="shared" si="3"/>
        <v>0</v>
      </c>
      <c r="O19" s="135">
        <f t="shared" si="4"/>
        <v>219.58333333333334</v>
      </c>
      <c r="P19" s="129">
        <v>42757</v>
      </c>
      <c r="Q19" s="187">
        <v>0.03</v>
      </c>
      <c r="R19" s="138" t="s">
        <v>380</v>
      </c>
      <c r="S19" s="191"/>
    </row>
    <row r="20" spans="1:19" s="132" customFormat="1" ht="17.25" customHeight="1">
      <c r="A20" s="128">
        <f t="shared" si="1"/>
        <v>11</v>
      </c>
      <c r="B20" s="133" t="s">
        <v>300</v>
      </c>
      <c r="C20" s="162">
        <v>42741</v>
      </c>
      <c r="D20" s="134">
        <v>42922</v>
      </c>
      <c r="E20" s="164"/>
      <c r="F20" s="163">
        <v>93000</v>
      </c>
      <c r="G20" s="164"/>
      <c r="H20" s="162"/>
      <c r="I20" s="163"/>
      <c r="J20" s="163"/>
      <c r="K20" s="130"/>
      <c r="L20" s="130">
        <f t="shared" si="2"/>
        <v>93000</v>
      </c>
      <c r="M20" s="163"/>
      <c r="N20" s="135">
        <f t="shared" si="3"/>
        <v>0</v>
      </c>
      <c r="O20" s="135">
        <f t="shared" si="4"/>
        <v>124</v>
      </c>
      <c r="P20" s="129">
        <v>42757</v>
      </c>
      <c r="Q20" s="187">
        <v>0.03</v>
      </c>
      <c r="R20" s="138" t="s">
        <v>380</v>
      </c>
      <c r="S20" s="191"/>
    </row>
    <row r="21" spans="1:19" s="132" customFormat="1" ht="17.25" customHeight="1">
      <c r="A21" s="128">
        <f t="shared" si="1"/>
        <v>12</v>
      </c>
      <c r="B21" s="133" t="s">
        <v>469</v>
      </c>
      <c r="C21" s="162">
        <v>42748</v>
      </c>
      <c r="D21" s="134">
        <v>42787</v>
      </c>
      <c r="E21" s="164"/>
      <c r="F21" s="163">
        <v>40000</v>
      </c>
      <c r="G21" s="164"/>
      <c r="H21" s="162"/>
      <c r="I21" s="163"/>
      <c r="J21" s="163"/>
      <c r="K21" s="130"/>
      <c r="L21" s="130">
        <f t="shared" si="2"/>
        <v>40000</v>
      </c>
      <c r="M21" s="163"/>
      <c r="N21" s="135">
        <f t="shared" si="3"/>
        <v>0</v>
      </c>
      <c r="O21" s="135">
        <f t="shared" si="4"/>
        <v>30</v>
      </c>
      <c r="P21" s="129">
        <v>42757</v>
      </c>
      <c r="Q21" s="187">
        <v>0.03</v>
      </c>
      <c r="R21" s="138" t="s">
        <v>461</v>
      </c>
    </row>
    <row r="22" spans="1:19" s="132" customFormat="1" ht="17.25" customHeight="1">
      <c r="A22" s="128">
        <f t="shared" si="1"/>
        <v>13</v>
      </c>
      <c r="B22" s="133" t="s">
        <v>470</v>
      </c>
      <c r="C22" s="162">
        <v>42751</v>
      </c>
      <c r="D22" s="134">
        <v>42791</v>
      </c>
      <c r="E22" s="164"/>
      <c r="F22" s="163">
        <v>102600</v>
      </c>
      <c r="G22" s="164"/>
      <c r="H22" s="162"/>
      <c r="I22" s="163"/>
      <c r="J22" s="163"/>
      <c r="K22" s="130"/>
      <c r="L22" s="130">
        <f t="shared" si="2"/>
        <v>102600</v>
      </c>
      <c r="M22" s="163"/>
      <c r="N22" s="135">
        <f t="shared" si="3"/>
        <v>0</v>
      </c>
      <c r="O22" s="135">
        <f t="shared" si="4"/>
        <v>51.3</v>
      </c>
      <c r="P22" s="129">
        <v>42757</v>
      </c>
      <c r="Q22" s="187">
        <v>0.03</v>
      </c>
      <c r="R22" s="138" t="s">
        <v>462</v>
      </c>
    </row>
    <row r="23" spans="1:19" s="132" customFormat="1" ht="17.25" customHeight="1">
      <c r="A23" s="128">
        <f t="shared" si="1"/>
        <v>14</v>
      </c>
      <c r="B23" s="133" t="s">
        <v>471</v>
      </c>
      <c r="C23" s="162">
        <v>42754</v>
      </c>
      <c r="D23" s="134">
        <v>42844</v>
      </c>
      <c r="E23" s="164"/>
      <c r="F23" s="163">
        <v>37584</v>
      </c>
      <c r="G23" s="164"/>
      <c r="H23" s="162"/>
      <c r="I23" s="163"/>
      <c r="J23" s="163"/>
      <c r="K23" s="130"/>
      <c r="L23" s="130">
        <f t="shared" si="2"/>
        <v>37584</v>
      </c>
      <c r="M23" s="163"/>
      <c r="N23" s="135">
        <f t="shared" si="3"/>
        <v>0</v>
      </c>
      <c r="O23" s="135">
        <f t="shared" si="4"/>
        <v>9.395999999999999</v>
      </c>
      <c r="P23" s="129">
        <v>42757</v>
      </c>
      <c r="Q23" s="187">
        <v>0.03</v>
      </c>
      <c r="R23" s="138" t="s">
        <v>463</v>
      </c>
    </row>
    <row r="24" spans="1:19" s="132" customFormat="1" ht="17.25" customHeight="1">
      <c r="A24" s="128">
        <f t="shared" si="1"/>
        <v>15</v>
      </c>
      <c r="B24" s="133" t="s">
        <v>472</v>
      </c>
      <c r="C24" s="162">
        <v>42754</v>
      </c>
      <c r="D24" s="134">
        <v>42788</v>
      </c>
      <c r="E24" s="164"/>
      <c r="F24" s="163">
        <v>41200</v>
      </c>
      <c r="G24" s="164"/>
      <c r="H24" s="162"/>
      <c r="I24" s="163"/>
      <c r="J24" s="163"/>
      <c r="K24" s="130"/>
      <c r="L24" s="130">
        <f t="shared" si="2"/>
        <v>41200</v>
      </c>
      <c r="M24" s="163"/>
      <c r="N24" s="135">
        <f t="shared" si="3"/>
        <v>0</v>
      </c>
      <c r="O24" s="135">
        <f t="shared" si="4"/>
        <v>10.3</v>
      </c>
      <c r="P24" s="129">
        <v>42757</v>
      </c>
      <c r="Q24" s="187">
        <v>0.03</v>
      </c>
      <c r="R24" s="138" t="s">
        <v>464</v>
      </c>
    </row>
    <row r="25" spans="1:19" s="132" customFormat="1" ht="17.25" customHeight="1">
      <c r="A25" s="128">
        <f t="shared" si="1"/>
        <v>16</v>
      </c>
      <c r="B25" s="133" t="s">
        <v>473</v>
      </c>
      <c r="C25" s="162">
        <v>42754</v>
      </c>
      <c r="D25" s="134">
        <v>42935</v>
      </c>
      <c r="E25" s="164"/>
      <c r="F25" s="163">
        <v>51100</v>
      </c>
      <c r="G25" s="164"/>
      <c r="H25" s="162"/>
      <c r="I25" s="163"/>
      <c r="J25" s="163"/>
      <c r="K25" s="130"/>
      <c r="L25" s="130">
        <f t="shared" si="2"/>
        <v>51100</v>
      </c>
      <c r="M25" s="163"/>
      <c r="N25" s="135">
        <f t="shared" si="3"/>
        <v>0</v>
      </c>
      <c r="O25" s="135">
        <f t="shared" si="4"/>
        <v>12.775</v>
      </c>
      <c r="P25" s="129">
        <v>42757</v>
      </c>
      <c r="Q25" s="187">
        <v>0.03</v>
      </c>
      <c r="R25" s="138" t="s">
        <v>460</v>
      </c>
    </row>
    <row r="26" spans="1:19" s="132" customFormat="1" ht="17.25" customHeight="1">
      <c r="A26" s="128"/>
      <c r="B26" s="133"/>
      <c r="C26" s="162"/>
      <c r="D26" s="134"/>
      <c r="E26" s="163"/>
      <c r="F26" s="163"/>
      <c r="G26" s="164"/>
      <c r="H26" s="162"/>
      <c r="I26" s="163"/>
      <c r="J26" s="163"/>
      <c r="K26" s="130"/>
      <c r="L26" s="130"/>
      <c r="M26" s="163"/>
      <c r="N26" s="135"/>
      <c r="O26" s="135"/>
      <c r="P26" s="129"/>
      <c r="Q26" s="187"/>
      <c r="R26" s="138"/>
    </row>
    <row r="27" spans="1:19" s="168" customFormat="1" ht="17.25" customHeight="1">
      <c r="A27" s="252" t="s">
        <v>305</v>
      </c>
      <c r="B27" s="252"/>
      <c r="C27" s="165"/>
      <c r="D27" s="165"/>
      <c r="E27" s="140">
        <f>SUM(E4:E26)</f>
        <v>0</v>
      </c>
      <c r="F27" s="141">
        <f>SUM(F10:F26)</f>
        <v>1241384</v>
      </c>
      <c r="G27" s="140">
        <f>SUM(G4:G16)</f>
        <v>0</v>
      </c>
      <c r="H27" s="139"/>
      <c r="I27" s="141">
        <f>SUM(I10:I26)</f>
        <v>0</v>
      </c>
      <c r="J27" s="141">
        <f>SUM(J10:J26)</f>
        <v>0</v>
      </c>
      <c r="K27" s="141">
        <f>SUM(K10:K26)</f>
        <v>0</v>
      </c>
      <c r="L27" s="141">
        <f>SUM(L10:L26)</f>
        <v>1241384</v>
      </c>
      <c r="M27" s="141">
        <f>SUM(M4:M14)</f>
        <v>0</v>
      </c>
      <c r="N27" s="141">
        <f>SUM(N10:N26)</f>
        <v>0</v>
      </c>
      <c r="O27" s="141">
        <f>SUM(O10:O26)</f>
        <v>2500.5126666666674</v>
      </c>
      <c r="P27" s="141"/>
      <c r="Q27" s="143"/>
      <c r="R27" s="143"/>
    </row>
    <row r="28" spans="1:19" s="132" customFormat="1" ht="17.25" customHeight="1">
      <c r="A28" s="128">
        <f>ROW()-27</f>
        <v>1</v>
      </c>
      <c r="B28" s="133" t="s">
        <v>280</v>
      </c>
      <c r="C28" s="134">
        <v>41870</v>
      </c>
      <c r="D28" s="134">
        <v>46253</v>
      </c>
      <c r="E28" s="136">
        <v>966640000</v>
      </c>
      <c r="F28" s="135"/>
      <c r="G28" s="136"/>
      <c r="H28" s="134">
        <v>42755</v>
      </c>
      <c r="I28" s="136">
        <v>8340000</v>
      </c>
      <c r="J28" s="135"/>
      <c r="K28" s="136">
        <f t="shared" ref="K28:K42" si="5">E28-I28</f>
        <v>958300000</v>
      </c>
      <c r="L28" s="135"/>
      <c r="M28" s="136">
        <f t="shared" ref="M28:M41" si="6">IF((LEFT(B28,4)="1402"),E28*Q28*DATEDIF(DATE(YEAR(P28),MONTH(P28)-1,IF(MONTH(C28)=(MONTH(P28)-1),DAY(C28),DAY(P28))),P28,"d")/360,0)</f>
        <v>7491460</v>
      </c>
      <c r="N28" s="135">
        <f t="shared" ref="N28:N42" si="7">IF((LEFT(B28,4)="1402"),F28*Q28*DATEDIF(DATE(YEAR(P28),MONTH(P28)-1,IF(MONTH(C28)=(MONTH(P28)-1),DAY(C28),16)),P28,"d")/360,0)</f>
        <v>0</v>
      </c>
      <c r="O28" s="135">
        <f t="shared" ref="O28:O42" si="8">IF((LEFT(B28,4)="1015"),F28*Q28*DATEDIF(P28,P$1,"d")/360,0)</f>
        <v>0</v>
      </c>
      <c r="P28" s="227">
        <f>H28</f>
        <v>42755</v>
      </c>
      <c r="Q28" s="187">
        <v>0.09</v>
      </c>
      <c r="R28" s="228" t="s">
        <v>281</v>
      </c>
    </row>
    <row r="29" spans="1:19" s="132" customFormat="1" ht="17.25" customHeight="1">
      <c r="A29" s="128">
        <f t="shared" ref="A29:A42" si="9">ROW()-27</f>
        <v>2</v>
      </c>
      <c r="B29" s="133" t="s">
        <v>282</v>
      </c>
      <c r="C29" s="134">
        <v>41905</v>
      </c>
      <c r="D29" s="134">
        <v>46253</v>
      </c>
      <c r="E29" s="136">
        <v>1933320000</v>
      </c>
      <c r="F29" s="135"/>
      <c r="G29" s="136"/>
      <c r="H29" s="134">
        <v>42755</v>
      </c>
      <c r="I29" s="136">
        <v>16670000</v>
      </c>
      <c r="J29" s="135"/>
      <c r="K29" s="136">
        <f t="shared" si="5"/>
        <v>1916650000</v>
      </c>
      <c r="L29" s="135"/>
      <c r="M29" s="136">
        <f t="shared" si="6"/>
        <v>14983230</v>
      </c>
      <c r="N29" s="135">
        <f t="shared" si="7"/>
        <v>0</v>
      </c>
      <c r="O29" s="135">
        <f t="shared" si="8"/>
        <v>0</v>
      </c>
      <c r="P29" s="227">
        <f t="shared" ref="P29:P42" si="10">H29</f>
        <v>42755</v>
      </c>
      <c r="Q29" s="187">
        <v>0.09</v>
      </c>
      <c r="R29" s="138" t="s">
        <v>281</v>
      </c>
    </row>
    <row r="30" spans="1:19" s="132" customFormat="1" ht="17.25" customHeight="1">
      <c r="A30" s="128">
        <f t="shared" si="9"/>
        <v>3</v>
      </c>
      <c r="B30" s="133" t="s">
        <v>283</v>
      </c>
      <c r="C30" s="162">
        <v>41934</v>
      </c>
      <c r="D30" s="134">
        <v>46253</v>
      </c>
      <c r="E30" s="164">
        <v>1546640000</v>
      </c>
      <c r="F30" s="163"/>
      <c r="G30" s="164"/>
      <c r="H30" s="134">
        <v>42755</v>
      </c>
      <c r="I30" s="164">
        <v>13340000</v>
      </c>
      <c r="J30" s="163"/>
      <c r="K30" s="136">
        <f t="shared" si="5"/>
        <v>1533300000</v>
      </c>
      <c r="L30" s="163"/>
      <c r="M30" s="136">
        <f t="shared" si="6"/>
        <v>11986460</v>
      </c>
      <c r="N30" s="135">
        <f t="shared" si="7"/>
        <v>0</v>
      </c>
      <c r="O30" s="135">
        <f t="shared" si="8"/>
        <v>0</v>
      </c>
      <c r="P30" s="227">
        <f t="shared" si="10"/>
        <v>42755</v>
      </c>
      <c r="Q30" s="187">
        <v>0.09</v>
      </c>
      <c r="R30" s="138" t="s">
        <v>281</v>
      </c>
    </row>
    <row r="31" spans="1:19" s="132" customFormat="1" ht="17.25" customHeight="1">
      <c r="A31" s="128">
        <f t="shared" si="9"/>
        <v>4</v>
      </c>
      <c r="B31" s="133" t="s">
        <v>284</v>
      </c>
      <c r="C31" s="162">
        <v>41963</v>
      </c>
      <c r="D31" s="134">
        <v>46253</v>
      </c>
      <c r="E31" s="164">
        <v>1475000000</v>
      </c>
      <c r="F31" s="163"/>
      <c r="G31" s="164"/>
      <c r="H31" s="134">
        <v>42755</v>
      </c>
      <c r="I31" s="164">
        <v>12500000</v>
      </c>
      <c r="J31" s="163"/>
      <c r="K31" s="136">
        <f t="shared" si="5"/>
        <v>1462500000</v>
      </c>
      <c r="L31" s="163"/>
      <c r="M31" s="136">
        <f t="shared" si="6"/>
        <v>11431250</v>
      </c>
      <c r="N31" s="135">
        <f t="shared" si="7"/>
        <v>0</v>
      </c>
      <c r="O31" s="135">
        <f t="shared" si="8"/>
        <v>0</v>
      </c>
      <c r="P31" s="227">
        <f t="shared" si="10"/>
        <v>42755</v>
      </c>
      <c r="Q31" s="187">
        <v>0.09</v>
      </c>
      <c r="R31" s="138" t="s">
        <v>281</v>
      </c>
    </row>
    <row r="32" spans="1:19" s="132" customFormat="1" ht="17.25" customHeight="1">
      <c r="A32" s="128">
        <f t="shared" si="9"/>
        <v>5</v>
      </c>
      <c r="B32" s="133" t="s">
        <v>285</v>
      </c>
      <c r="C32" s="162">
        <v>41984</v>
      </c>
      <c r="D32" s="134">
        <v>46253</v>
      </c>
      <c r="E32" s="164">
        <v>966680000</v>
      </c>
      <c r="F32" s="163"/>
      <c r="G32" s="164"/>
      <c r="H32" s="134">
        <v>42755</v>
      </c>
      <c r="I32" s="164">
        <v>8330000</v>
      </c>
      <c r="J32" s="163"/>
      <c r="K32" s="164">
        <f t="shared" si="5"/>
        <v>958350000</v>
      </c>
      <c r="L32" s="163"/>
      <c r="M32" s="136">
        <f t="shared" si="6"/>
        <v>7491770</v>
      </c>
      <c r="N32" s="135">
        <f t="shared" si="7"/>
        <v>0</v>
      </c>
      <c r="O32" s="135">
        <f t="shared" si="8"/>
        <v>0</v>
      </c>
      <c r="P32" s="227">
        <f t="shared" si="10"/>
        <v>42755</v>
      </c>
      <c r="Q32" s="187">
        <v>0.09</v>
      </c>
      <c r="R32" s="138" t="s">
        <v>281</v>
      </c>
    </row>
    <row r="33" spans="1:18" s="132" customFormat="1" ht="17.25" customHeight="1">
      <c r="A33" s="128">
        <f t="shared" si="9"/>
        <v>6</v>
      </c>
      <c r="B33" s="133" t="s">
        <v>286</v>
      </c>
      <c r="C33" s="162">
        <v>42033</v>
      </c>
      <c r="D33" s="134">
        <v>46253</v>
      </c>
      <c r="E33" s="164">
        <v>1450000000</v>
      </c>
      <c r="F33" s="163"/>
      <c r="G33" s="164"/>
      <c r="H33" s="134">
        <v>42755</v>
      </c>
      <c r="I33" s="164">
        <v>12500000</v>
      </c>
      <c r="J33" s="163"/>
      <c r="K33" s="164">
        <f t="shared" si="5"/>
        <v>1437500000</v>
      </c>
      <c r="L33" s="163"/>
      <c r="M33" s="136">
        <f t="shared" si="6"/>
        <v>11237500</v>
      </c>
      <c r="N33" s="135">
        <f t="shared" si="7"/>
        <v>0</v>
      </c>
      <c r="O33" s="135">
        <f t="shared" si="8"/>
        <v>0</v>
      </c>
      <c r="P33" s="227">
        <f t="shared" si="10"/>
        <v>42755</v>
      </c>
      <c r="Q33" s="187">
        <v>0.09</v>
      </c>
      <c r="R33" s="138" t="s">
        <v>281</v>
      </c>
    </row>
    <row r="34" spans="1:18" s="132" customFormat="1" ht="17.25" customHeight="1">
      <c r="A34" s="128">
        <f t="shared" si="9"/>
        <v>7</v>
      </c>
      <c r="B34" s="133" t="s">
        <v>287</v>
      </c>
      <c r="C34" s="162">
        <v>42088</v>
      </c>
      <c r="D34" s="134">
        <v>46253</v>
      </c>
      <c r="E34" s="164">
        <v>1933320000</v>
      </c>
      <c r="F34" s="163"/>
      <c r="G34" s="164"/>
      <c r="H34" s="134">
        <v>42755</v>
      </c>
      <c r="I34" s="164">
        <v>16670000</v>
      </c>
      <c r="J34" s="163"/>
      <c r="K34" s="164">
        <f t="shared" si="5"/>
        <v>1916650000</v>
      </c>
      <c r="L34" s="163"/>
      <c r="M34" s="136">
        <f t="shared" si="6"/>
        <v>14983230</v>
      </c>
      <c r="N34" s="135">
        <f t="shared" si="7"/>
        <v>0</v>
      </c>
      <c r="O34" s="135">
        <f t="shared" si="8"/>
        <v>0</v>
      </c>
      <c r="P34" s="227">
        <f t="shared" si="10"/>
        <v>42755</v>
      </c>
      <c r="Q34" s="187">
        <v>0.09</v>
      </c>
      <c r="R34" s="138" t="s">
        <v>281</v>
      </c>
    </row>
    <row r="35" spans="1:18" s="132" customFormat="1" ht="17.25" customHeight="1">
      <c r="A35" s="128">
        <f t="shared" si="9"/>
        <v>8</v>
      </c>
      <c r="B35" s="133" t="s">
        <v>288</v>
      </c>
      <c r="C35" s="162">
        <v>42114</v>
      </c>
      <c r="D35" s="134">
        <v>46253</v>
      </c>
      <c r="E35" s="164">
        <v>1353320000</v>
      </c>
      <c r="F35" s="163"/>
      <c r="G35" s="164"/>
      <c r="H35" s="134">
        <v>42755</v>
      </c>
      <c r="I35" s="164">
        <v>11670000</v>
      </c>
      <c r="J35" s="163"/>
      <c r="K35" s="164">
        <f t="shared" si="5"/>
        <v>1341650000</v>
      </c>
      <c r="L35" s="163"/>
      <c r="M35" s="136">
        <f t="shared" si="6"/>
        <v>10488230</v>
      </c>
      <c r="N35" s="135">
        <f t="shared" si="7"/>
        <v>0</v>
      </c>
      <c r="O35" s="135">
        <f t="shared" si="8"/>
        <v>0</v>
      </c>
      <c r="P35" s="227">
        <f t="shared" si="10"/>
        <v>42755</v>
      </c>
      <c r="Q35" s="187">
        <v>0.09</v>
      </c>
      <c r="R35" s="138" t="s">
        <v>281</v>
      </c>
    </row>
    <row r="36" spans="1:18" s="132" customFormat="1" ht="17.25" customHeight="1">
      <c r="A36" s="128">
        <f t="shared" si="9"/>
        <v>9</v>
      </c>
      <c r="B36" s="133" t="s">
        <v>289</v>
      </c>
      <c r="C36" s="162">
        <v>42138</v>
      </c>
      <c r="D36" s="134">
        <v>46253</v>
      </c>
      <c r="E36" s="164">
        <v>1450000000</v>
      </c>
      <c r="F36" s="163"/>
      <c r="G36" s="164"/>
      <c r="H36" s="134">
        <v>42755</v>
      </c>
      <c r="I36" s="164">
        <v>12500000</v>
      </c>
      <c r="J36" s="163"/>
      <c r="K36" s="164">
        <f t="shared" si="5"/>
        <v>1437500000</v>
      </c>
      <c r="L36" s="163"/>
      <c r="M36" s="136">
        <f t="shared" si="6"/>
        <v>11237500</v>
      </c>
      <c r="N36" s="135">
        <f t="shared" si="7"/>
        <v>0</v>
      </c>
      <c r="O36" s="135">
        <f t="shared" si="8"/>
        <v>0</v>
      </c>
      <c r="P36" s="227">
        <f t="shared" si="10"/>
        <v>42755</v>
      </c>
      <c r="Q36" s="187">
        <v>0.09</v>
      </c>
      <c r="R36" s="138" t="s">
        <v>281</v>
      </c>
    </row>
    <row r="37" spans="1:18" s="132" customFormat="1" ht="17.25" customHeight="1">
      <c r="A37" s="128">
        <f t="shared" si="9"/>
        <v>10</v>
      </c>
      <c r="B37" s="133" t="s">
        <v>290</v>
      </c>
      <c r="C37" s="162">
        <v>42164</v>
      </c>
      <c r="D37" s="134">
        <v>46253</v>
      </c>
      <c r="E37" s="164">
        <v>1450000000</v>
      </c>
      <c r="F37" s="163"/>
      <c r="G37" s="164"/>
      <c r="H37" s="134">
        <v>42755</v>
      </c>
      <c r="I37" s="164">
        <v>12500000</v>
      </c>
      <c r="J37" s="163"/>
      <c r="K37" s="164">
        <f t="shared" si="5"/>
        <v>1437500000</v>
      </c>
      <c r="L37" s="163"/>
      <c r="M37" s="136">
        <f t="shared" si="6"/>
        <v>11237500</v>
      </c>
      <c r="N37" s="135">
        <f t="shared" si="7"/>
        <v>0</v>
      </c>
      <c r="O37" s="135">
        <f t="shared" si="8"/>
        <v>0</v>
      </c>
      <c r="P37" s="227">
        <f t="shared" si="10"/>
        <v>42755</v>
      </c>
      <c r="Q37" s="187">
        <v>0.09</v>
      </c>
      <c r="R37" s="138" t="s">
        <v>281</v>
      </c>
    </row>
    <row r="38" spans="1:18" s="132" customFormat="1" ht="17.25" customHeight="1">
      <c r="A38" s="128">
        <f t="shared" si="9"/>
        <v>11</v>
      </c>
      <c r="B38" s="133" t="s">
        <v>291</v>
      </c>
      <c r="C38" s="162">
        <v>42187</v>
      </c>
      <c r="D38" s="134">
        <v>46253</v>
      </c>
      <c r="E38" s="164">
        <v>1450000000</v>
      </c>
      <c r="F38" s="163"/>
      <c r="G38" s="164"/>
      <c r="H38" s="134">
        <v>42755</v>
      </c>
      <c r="I38" s="164">
        <v>12500000</v>
      </c>
      <c r="J38" s="163"/>
      <c r="K38" s="164">
        <f t="shared" si="5"/>
        <v>1437500000</v>
      </c>
      <c r="L38" s="163"/>
      <c r="M38" s="136">
        <f t="shared" si="6"/>
        <v>11237500</v>
      </c>
      <c r="N38" s="135">
        <f t="shared" si="7"/>
        <v>0</v>
      </c>
      <c r="O38" s="135">
        <f t="shared" si="8"/>
        <v>0</v>
      </c>
      <c r="P38" s="227">
        <f t="shared" si="10"/>
        <v>42755</v>
      </c>
      <c r="Q38" s="187">
        <v>0.09</v>
      </c>
      <c r="R38" s="138" t="s">
        <v>281</v>
      </c>
    </row>
    <row r="39" spans="1:18" s="132" customFormat="1" ht="17.25" customHeight="1">
      <c r="A39" s="128">
        <f t="shared" si="9"/>
        <v>12</v>
      </c>
      <c r="B39" s="133" t="s">
        <v>292</v>
      </c>
      <c r="C39" s="162">
        <v>42195</v>
      </c>
      <c r="D39" s="134">
        <v>46253</v>
      </c>
      <c r="E39" s="164">
        <v>1450000000</v>
      </c>
      <c r="F39" s="163"/>
      <c r="G39" s="164"/>
      <c r="H39" s="134">
        <v>42755</v>
      </c>
      <c r="I39" s="164">
        <v>12500000</v>
      </c>
      <c r="J39" s="163"/>
      <c r="K39" s="164">
        <f t="shared" si="5"/>
        <v>1437500000</v>
      </c>
      <c r="L39" s="163"/>
      <c r="M39" s="136">
        <f t="shared" si="6"/>
        <v>11237500</v>
      </c>
      <c r="N39" s="135">
        <f t="shared" si="7"/>
        <v>0</v>
      </c>
      <c r="O39" s="135">
        <f t="shared" si="8"/>
        <v>0</v>
      </c>
      <c r="P39" s="227">
        <f t="shared" si="10"/>
        <v>42755</v>
      </c>
      <c r="Q39" s="187">
        <v>0.09</v>
      </c>
      <c r="R39" s="138" t="s">
        <v>281</v>
      </c>
    </row>
    <row r="40" spans="1:18" s="132" customFormat="1" ht="17.25" customHeight="1">
      <c r="A40" s="128">
        <f t="shared" si="9"/>
        <v>13</v>
      </c>
      <c r="B40" s="133" t="s">
        <v>293</v>
      </c>
      <c r="C40" s="162">
        <v>42215</v>
      </c>
      <c r="D40" s="134">
        <v>46253</v>
      </c>
      <c r="E40" s="164">
        <v>966640000</v>
      </c>
      <c r="F40" s="163"/>
      <c r="G40" s="164"/>
      <c r="H40" s="134">
        <v>42755</v>
      </c>
      <c r="I40" s="164">
        <v>8330000</v>
      </c>
      <c r="J40" s="163"/>
      <c r="K40" s="164">
        <f t="shared" si="5"/>
        <v>958310000</v>
      </c>
      <c r="L40" s="163"/>
      <c r="M40" s="136">
        <f t="shared" si="6"/>
        <v>7491460</v>
      </c>
      <c r="N40" s="135">
        <f t="shared" si="7"/>
        <v>0</v>
      </c>
      <c r="O40" s="135">
        <f t="shared" si="8"/>
        <v>0</v>
      </c>
      <c r="P40" s="227">
        <f t="shared" si="10"/>
        <v>42755</v>
      </c>
      <c r="Q40" s="187">
        <v>0.09</v>
      </c>
      <c r="R40" s="138" t="s">
        <v>281</v>
      </c>
    </row>
    <row r="41" spans="1:18" s="132" customFormat="1" ht="17.25" customHeight="1">
      <c r="A41" s="128">
        <f t="shared" si="9"/>
        <v>14</v>
      </c>
      <c r="B41" s="133" t="s">
        <v>294</v>
      </c>
      <c r="C41" s="162">
        <v>42229</v>
      </c>
      <c r="D41" s="134">
        <v>46253</v>
      </c>
      <c r="E41" s="164">
        <v>966640000</v>
      </c>
      <c r="F41" s="163"/>
      <c r="G41" s="164"/>
      <c r="H41" s="134">
        <v>42755</v>
      </c>
      <c r="I41" s="164">
        <v>8330000</v>
      </c>
      <c r="J41" s="163"/>
      <c r="K41" s="164">
        <f t="shared" si="5"/>
        <v>958310000</v>
      </c>
      <c r="L41" s="163"/>
      <c r="M41" s="136">
        <f t="shared" si="6"/>
        <v>7491460</v>
      </c>
      <c r="N41" s="135">
        <f t="shared" si="7"/>
        <v>0</v>
      </c>
      <c r="O41" s="135">
        <f t="shared" si="8"/>
        <v>0</v>
      </c>
      <c r="P41" s="227">
        <f t="shared" si="10"/>
        <v>42755</v>
      </c>
      <c r="Q41" s="187">
        <v>0.09</v>
      </c>
      <c r="R41" s="138" t="s">
        <v>281</v>
      </c>
    </row>
    <row r="42" spans="1:18" s="132" customFormat="1" ht="17.25" customHeight="1">
      <c r="A42" s="128">
        <f t="shared" si="9"/>
        <v>15</v>
      </c>
      <c r="B42" s="133" t="s">
        <v>429</v>
      </c>
      <c r="C42" s="162">
        <v>42730</v>
      </c>
      <c r="D42" s="162">
        <v>42851</v>
      </c>
      <c r="E42" s="164"/>
      <c r="F42" s="163">
        <v>87000</v>
      </c>
      <c r="G42" s="164"/>
      <c r="H42" s="162">
        <v>42750</v>
      </c>
      <c r="I42" s="164"/>
      <c r="J42" s="163"/>
      <c r="K42" s="164">
        <f t="shared" si="5"/>
        <v>0</v>
      </c>
      <c r="L42" s="163">
        <f>F42</f>
        <v>87000</v>
      </c>
      <c r="M42" s="136"/>
      <c r="N42" s="135">
        <f t="shared" si="7"/>
        <v>181.25</v>
      </c>
      <c r="O42" s="135">
        <f t="shared" si="8"/>
        <v>0</v>
      </c>
      <c r="P42" s="227">
        <f t="shared" si="10"/>
        <v>42750</v>
      </c>
      <c r="Q42" s="187">
        <v>2.5000000000000001E-2</v>
      </c>
      <c r="R42" s="138"/>
    </row>
    <row r="43" spans="1:18" s="132" customFormat="1" ht="17.25" customHeight="1">
      <c r="A43" s="128"/>
      <c r="B43" s="133"/>
      <c r="C43" s="162"/>
      <c r="D43" s="162"/>
      <c r="E43" s="164"/>
      <c r="F43" s="163"/>
      <c r="G43" s="164"/>
      <c r="H43" s="162"/>
      <c r="I43" s="164"/>
      <c r="J43" s="163"/>
      <c r="K43" s="164"/>
      <c r="L43" s="163"/>
      <c r="M43" s="164"/>
      <c r="N43" s="163"/>
      <c r="O43" s="163"/>
      <c r="P43" s="129"/>
      <c r="Q43" s="161"/>
      <c r="R43" s="138"/>
    </row>
    <row r="44" spans="1:18" s="168" customFormat="1" ht="17.25" customHeight="1">
      <c r="A44" s="252" t="s">
        <v>295</v>
      </c>
      <c r="B44" s="252"/>
      <c r="C44" s="165"/>
      <c r="D44" s="165"/>
      <c r="E44" s="140">
        <f>SUM(E28:E43)</f>
        <v>19358200000</v>
      </c>
      <c r="F44" s="141">
        <f>SUM(F28:F43)</f>
        <v>87000</v>
      </c>
      <c r="G44" s="140">
        <f>SUM(G28:G43)</f>
        <v>0</v>
      </c>
      <c r="H44" s="141"/>
      <c r="I44" s="140">
        <f t="shared" ref="I44:O44" si="11">SUM(I28:I43)</f>
        <v>166680000</v>
      </c>
      <c r="J44" s="141">
        <f t="shared" si="11"/>
        <v>0</v>
      </c>
      <c r="K44" s="140">
        <f t="shared" si="11"/>
        <v>19191520000</v>
      </c>
      <c r="L44" s="141">
        <f t="shared" si="11"/>
        <v>87000</v>
      </c>
      <c r="M44" s="140">
        <f t="shared" si="11"/>
        <v>150026050</v>
      </c>
      <c r="N44" s="141">
        <f t="shared" si="11"/>
        <v>181.25</v>
      </c>
      <c r="O44" s="141">
        <f t="shared" si="11"/>
        <v>0</v>
      </c>
      <c r="P44" s="141"/>
      <c r="Q44" s="143"/>
      <c r="R44" s="143"/>
    </row>
    <row r="45" spans="1:18" ht="17.25" customHeight="1">
      <c r="F45" s="178"/>
    </row>
    <row r="46" spans="1:18" ht="17.25" customHeight="1">
      <c r="F46" s="178"/>
    </row>
    <row r="47" spans="1:18" ht="17.25" customHeight="1">
      <c r="F47" s="175"/>
    </row>
    <row r="48" spans="1:18" ht="17.25" customHeight="1">
      <c r="F48" s="175"/>
    </row>
    <row r="50" spans="6:14" ht="17.25" customHeight="1">
      <c r="F50" s="178"/>
    </row>
    <row r="58" spans="6:14" ht="17.25" customHeight="1">
      <c r="M58" s="181"/>
      <c r="N58" s="181"/>
    </row>
  </sheetData>
  <autoFilter ref="A3:R27"/>
  <sortState ref="A10:T25">
    <sortCondition ref="C10:C25"/>
  </sortState>
  <mergeCells count="12">
    <mergeCell ref="A44:B44"/>
    <mergeCell ref="A2:A3"/>
    <mergeCell ref="B2:B3"/>
    <mergeCell ref="C2:D2"/>
    <mergeCell ref="E2:G2"/>
    <mergeCell ref="M2:P2"/>
    <mergeCell ref="Q2:Q3"/>
    <mergeCell ref="R2:R3"/>
    <mergeCell ref="A9:B9"/>
    <mergeCell ref="A27:B27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E5" sqref="E5"/>
    </sheetView>
  </sheetViews>
  <sheetFormatPr defaultRowHeight="17.25" customHeight="1"/>
  <cols>
    <col min="1" max="1" width="5.140625" style="174" bestFit="1" customWidth="1"/>
    <col min="2" max="2" width="17.5703125" style="175" customWidth="1"/>
    <col min="3" max="4" width="8.28515625" style="176" customWidth="1"/>
    <col min="5" max="5" width="13.42578125" style="177" customWidth="1"/>
    <col min="6" max="6" width="11.7109375" style="181" customWidth="1"/>
    <col min="7" max="7" width="8" style="177" customWidth="1"/>
    <col min="8" max="8" width="7.5703125" style="179" customWidth="1"/>
    <col min="9" max="9" width="11" style="180" customWidth="1"/>
    <col min="10" max="10" width="10" style="180" customWidth="1"/>
    <col min="11" max="11" width="13.85546875" style="177" customWidth="1"/>
    <col min="12" max="12" width="11.5703125" style="181" customWidth="1"/>
    <col min="13" max="13" width="10.7109375" style="182" customWidth="1"/>
    <col min="14" max="14" width="10" style="182" customWidth="1"/>
    <col min="15" max="15" width="9" style="182" customWidth="1"/>
    <col min="16" max="16" width="9" style="183" customWidth="1"/>
    <col min="17" max="17" width="8.42578125" style="184" customWidth="1"/>
    <col min="18" max="18" width="7.7109375" style="184" customWidth="1"/>
    <col min="19" max="19" width="15" style="174" customWidth="1"/>
    <col min="20" max="20" width="15.85546875" style="175" customWidth="1"/>
    <col min="21" max="16384" width="9.140625" style="175"/>
  </cols>
  <sheetData>
    <row r="1" spans="1:20" s="121" customFormat="1" ht="17.25" customHeight="1">
      <c r="A1" s="111"/>
      <c r="B1" s="112" t="s">
        <v>258</v>
      </c>
      <c r="C1" s="113"/>
      <c r="D1" s="114"/>
      <c r="E1" s="115"/>
      <c r="F1" s="116"/>
      <c r="G1" s="115"/>
      <c r="H1" s="117"/>
      <c r="I1" s="118"/>
      <c r="J1" s="118"/>
      <c r="K1" s="115"/>
      <c r="L1" s="119"/>
      <c r="M1" s="119"/>
      <c r="N1" s="119"/>
      <c r="O1" s="119"/>
      <c r="P1" s="119"/>
      <c r="Q1" s="119"/>
      <c r="R1" s="120"/>
      <c r="S1" s="111"/>
    </row>
    <row r="2" spans="1:20" s="122" customFormat="1" ht="16.5" customHeight="1">
      <c r="A2" s="250" t="s">
        <v>259</v>
      </c>
      <c r="B2" s="250" t="s">
        <v>260</v>
      </c>
      <c r="C2" s="253" t="s">
        <v>261</v>
      </c>
      <c r="D2" s="253"/>
      <c r="E2" s="254" t="s">
        <v>262</v>
      </c>
      <c r="F2" s="254"/>
      <c r="G2" s="254"/>
      <c r="H2" s="257" t="s">
        <v>263</v>
      </c>
      <c r="I2" s="257"/>
      <c r="J2" s="257"/>
      <c r="K2" s="248" t="s">
        <v>264</v>
      </c>
      <c r="L2" s="248"/>
      <c r="M2" s="255" t="s">
        <v>265</v>
      </c>
      <c r="N2" s="255"/>
      <c r="O2" s="255"/>
      <c r="P2" s="255"/>
      <c r="Q2" s="255"/>
      <c r="R2" s="256" t="s">
        <v>266</v>
      </c>
      <c r="S2" s="250" t="s">
        <v>267</v>
      </c>
    </row>
    <row r="3" spans="1:20" s="122" customFormat="1" ht="33" customHeight="1">
      <c r="A3" s="250"/>
      <c r="B3" s="250"/>
      <c r="C3" s="123" t="s">
        <v>268</v>
      </c>
      <c r="D3" s="123" t="s">
        <v>269</v>
      </c>
      <c r="E3" s="124" t="s">
        <v>270</v>
      </c>
      <c r="F3" s="125" t="s">
        <v>26</v>
      </c>
      <c r="G3" s="186" t="s">
        <v>297</v>
      </c>
      <c r="H3" s="126" t="s">
        <v>271</v>
      </c>
      <c r="I3" s="206" t="s">
        <v>270</v>
      </c>
      <c r="J3" s="206" t="s">
        <v>272</v>
      </c>
      <c r="K3" s="207" t="s">
        <v>270</v>
      </c>
      <c r="L3" s="125" t="s">
        <v>272</v>
      </c>
      <c r="M3" s="204" t="s">
        <v>273</v>
      </c>
      <c r="N3" s="204" t="s">
        <v>274</v>
      </c>
      <c r="O3" s="127" t="s">
        <v>275</v>
      </c>
      <c r="P3" s="205" t="s">
        <v>307</v>
      </c>
      <c r="Q3" s="205" t="s">
        <v>276</v>
      </c>
      <c r="R3" s="256"/>
      <c r="S3" s="250"/>
    </row>
    <row r="4" spans="1:20" s="147" customFormat="1" ht="17.25" customHeight="1">
      <c r="A4" s="145">
        <f>ROW()-3</f>
        <v>1</v>
      </c>
      <c r="B4" s="148" t="s">
        <v>498</v>
      </c>
      <c r="C4" s="149">
        <v>42742</v>
      </c>
      <c r="D4" s="149">
        <v>42923</v>
      </c>
      <c r="E4" s="137"/>
      <c r="F4" s="137">
        <v>43000</v>
      </c>
      <c r="G4" s="150"/>
      <c r="H4" s="149"/>
      <c r="I4" s="137"/>
      <c r="J4" s="137"/>
      <c r="K4" s="131"/>
      <c r="L4" s="131">
        <f>F4-J4</f>
        <v>43000</v>
      </c>
      <c r="M4" s="137"/>
      <c r="N4" s="137"/>
      <c r="O4" s="137">
        <f>IF((LEFT(B4,4)="1402"),F4*R4*DATEDIF(DATE(YEAR(Q4),MONTH(Q4)-1,IF(MONTH(C4)=(MONTH(Q4)-1),DAY(C4),16)),Q4,"d")/360,0)</f>
        <v>92.569444444444443</v>
      </c>
      <c r="P4" s="137">
        <f>IF((LEFT(B4,4)="1025"),F4*R4*DATEDIF(DATE(YEAR(Q4),MONTH(Q4)-1,IF(MONTH(C4)=(MONTH($O$1)-1),DAY(C4),16)),Q4,"d")/360,0)</f>
        <v>0</v>
      </c>
      <c r="Q4" s="129">
        <v>42690</v>
      </c>
      <c r="R4" s="188">
        <v>2.5000000000000001E-2</v>
      </c>
      <c r="S4" s="152" t="s">
        <v>277</v>
      </c>
      <c r="T4" s="132"/>
    </row>
    <row r="5" spans="1:20" s="147" customFormat="1" ht="17.25" customHeight="1">
      <c r="A5" s="145">
        <f t="shared" ref="A5:A7" si="0">ROW()-3</f>
        <v>2</v>
      </c>
      <c r="B5" s="148" t="s">
        <v>303</v>
      </c>
      <c r="C5" s="149">
        <v>42586</v>
      </c>
      <c r="D5" s="149">
        <v>42770</v>
      </c>
      <c r="E5" s="137"/>
      <c r="F5" s="137">
        <v>52300</v>
      </c>
      <c r="G5" s="150"/>
      <c r="H5" s="149"/>
      <c r="I5" s="137"/>
      <c r="J5" s="137"/>
      <c r="K5" s="131"/>
      <c r="L5" s="131">
        <f>F5-J5</f>
        <v>52300</v>
      </c>
      <c r="M5" s="137"/>
      <c r="N5" s="137"/>
      <c r="O5" s="137">
        <f t="shared" ref="O5:O7" si="1">IF((LEFT(B5,4)="1402"),F5*R5*DATEDIF(DATE(YEAR(Q5),MONTH(Q5)-1,IF(MONTH(C5)=(MONTH(Q5)-1),DAY(C5),16)),Q5,"d")/360,0)</f>
        <v>112.59027777777777</v>
      </c>
      <c r="P5" s="137">
        <f t="shared" ref="P5:P7" si="2">IF((LEFT(B5,4)="1025"),F5*R5*DATEDIF(DATE(YEAR(Q5),MONTH(Q5)-1,IF(MONTH(C5)=(MONTH($O$1)-1),DAY(C5),16)),Q5,"d")/360,0)</f>
        <v>0</v>
      </c>
      <c r="Q5" s="129">
        <v>42690</v>
      </c>
      <c r="R5" s="188">
        <v>2.5000000000000001E-2</v>
      </c>
      <c r="S5" s="152" t="s">
        <v>278</v>
      </c>
      <c r="T5" s="132"/>
    </row>
    <row r="6" spans="1:20" s="132" customFormat="1" ht="17.25" customHeight="1">
      <c r="A6" s="145">
        <f t="shared" si="0"/>
        <v>3</v>
      </c>
      <c r="B6" s="148" t="s">
        <v>428</v>
      </c>
      <c r="C6" s="149">
        <v>42718</v>
      </c>
      <c r="D6" s="149">
        <v>42900</v>
      </c>
      <c r="E6" s="137"/>
      <c r="F6" s="137">
        <v>93000</v>
      </c>
      <c r="G6" s="150"/>
      <c r="H6" s="149"/>
      <c r="I6" s="137"/>
      <c r="J6" s="137"/>
      <c r="K6" s="131"/>
      <c r="L6" s="131">
        <f>F6-J6</f>
        <v>93000</v>
      </c>
      <c r="M6" s="137"/>
      <c r="N6" s="137"/>
      <c r="O6" s="137">
        <f t="shared" si="1"/>
        <v>200.20833333333334</v>
      </c>
      <c r="P6" s="137">
        <f t="shared" si="2"/>
        <v>0</v>
      </c>
      <c r="Q6" s="129">
        <v>42690</v>
      </c>
      <c r="R6" s="188">
        <v>2.5000000000000001E-2</v>
      </c>
      <c r="S6" s="152" t="s">
        <v>277</v>
      </c>
    </row>
    <row r="7" spans="1:20" s="132" customFormat="1" ht="17.25" customHeight="1">
      <c r="A7" s="145">
        <f t="shared" si="0"/>
        <v>4</v>
      </c>
      <c r="B7" s="146" t="s">
        <v>427</v>
      </c>
      <c r="C7" s="149">
        <v>42710</v>
      </c>
      <c r="D7" s="149">
        <v>42892</v>
      </c>
      <c r="E7" s="137"/>
      <c r="F7" s="137">
        <v>70500</v>
      </c>
      <c r="G7" s="150"/>
      <c r="H7" s="149"/>
      <c r="I7" s="137"/>
      <c r="J7" s="137"/>
      <c r="K7" s="131"/>
      <c r="L7" s="131">
        <f>F7-J7</f>
        <v>70500</v>
      </c>
      <c r="M7" s="137"/>
      <c r="N7" s="137"/>
      <c r="O7" s="137">
        <f t="shared" si="1"/>
        <v>151.77083333333334</v>
      </c>
      <c r="P7" s="137">
        <f t="shared" si="2"/>
        <v>0</v>
      </c>
      <c r="Q7" s="129">
        <v>42690</v>
      </c>
      <c r="R7" s="188">
        <v>2.5000000000000001E-2</v>
      </c>
      <c r="S7" s="152" t="s">
        <v>277</v>
      </c>
    </row>
    <row r="8" spans="1:20" s="132" customFormat="1" ht="17.25" customHeight="1">
      <c r="A8" s="153"/>
      <c r="B8" s="154"/>
      <c r="C8" s="155"/>
      <c r="D8" s="155"/>
      <c r="E8" s="156"/>
      <c r="F8" s="156"/>
      <c r="G8" s="157"/>
      <c r="H8" s="155"/>
      <c r="I8" s="156"/>
      <c r="J8" s="156"/>
      <c r="K8" s="156"/>
      <c r="L8" s="156"/>
      <c r="M8" s="156"/>
      <c r="N8" s="156"/>
      <c r="O8" s="156"/>
      <c r="P8" s="156"/>
      <c r="Q8" s="158"/>
      <c r="R8" s="159"/>
      <c r="S8" s="160"/>
    </row>
    <row r="9" spans="1:20" s="144" customFormat="1" ht="17.25" customHeight="1">
      <c r="A9" s="251" t="s">
        <v>279</v>
      </c>
      <c r="B9" s="251"/>
      <c r="C9" s="139"/>
      <c r="D9" s="139"/>
      <c r="E9" s="140"/>
      <c r="F9" s="141">
        <f>SUM(F4:F8)</f>
        <v>258800</v>
      </c>
      <c r="G9" s="140">
        <f>SUM(G4:G6)</f>
        <v>0</v>
      </c>
      <c r="H9" s="141"/>
      <c r="I9" s="140"/>
      <c r="J9" s="141">
        <f>SUM(J4:J8)</f>
        <v>0</v>
      </c>
      <c r="K9" s="140"/>
      <c r="L9" s="141">
        <f>SUM(L4:L8)</f>
        <v>258800</v>
      </c>
      <c r="M9" s="140"/>
      <c r="N9" s="140">
        <f>SUM(N4:N6)</f>
        <v>0</v>
      </c>
      <c r="O9" s="141">
        <f>SUM(O4:O8)</f>
        <v>557.13888888888891</v>
      </c>
      <c r="P9" s="141">
        <f>SUM(P4:P8)</f>
        <v>0</v>
      </c>
      <c r="Q9" s="139"/>
      <c r="R9" s="142"/>
      <c r="S9" s="143"/>
      <c r="T9" s="132"/>
    </row>
    <row r="10" spans="1:20" s="132" customFormat="1" ht="17.25" customHeight="1">
      <c r="A10" s="145">
        <f t="shared" ref="A10:A20" si="3">ROW()-9</f>
        <v>1</v>
      </c>
      <c r="B10" s="133" t="s">
        <v>299</v>
      </c>
      <c r="C10" s="134">
        <v>42689</v>
      </c>
      <c r="D10" s="134">
        <v>42870</v>
      </c>
      <c r="E10" s="136"/>
      <c r="F10" s="135">
        <v>89000</v>
      </c>
      <c r="G10" s="136"/>
      <c r="H10" s="134"/>
      <c r="I10" s="135"/>
      <c r="J10" s="135"/>
      <c r="K10" s="131"/>
      <c r="L10" s="130">
        <f t="shared" ref="L10:L20" si="4">F10-J10</f>
        <v>89000</v>
      </c>
      <c r="M10" s="135"/>
      <c r="N10" s="135"/>
      <c r="O10" s="137">
        <f t="shared" ref="O10:O19" si="5">IF((LEFT(B10,4)="1402"),F10*R10*DATEDIF(DATE(YEAR(Q10),MONTH(Q10)-1,IF(MONTH(C10)=(MONTH(Q10)-1),DAY(C10),16)),Q10,"d")/360,0)</f>
        <v>0</v>
      </c>
      <c r="P10" s="137">
        <f>IF((LEFT(B10,4)="1025"),F10*R10*DATEDIF(DATE(YEAR(Q10),MONTH(Q10)-1,DAY(Q10)),Q10,"d")/360,0)</f>
        <v>229.91666666666666</v>
      </c>
      <c r="Q10" s="129">
        <v>42696</v>
      </c>
      <c r="R10" s="187">
        <v>0.03</v>
      </c>
      <c r="S10" s="152" t="s">
        <v>380</v>
      </c>
      <c r="T10" s="190"/>
    </row>
    <row r="11" spans="1:20" s="132" customFormat="1" ht="17.25" customHeight="1">
      <c r="A11" s="145">
        <f t="shared" si="3"/>
        <v>2</v>
      </c>
      <c r="B11" s="133" t="s">
        <v>298</v>
      </c>
      <c r="C11" s="134">
        <v>42684</v>
      </c>
      <c r="D11" s="134">
        <v>42865</v>
      </c>
      <c r="E11" s="136"/>
      <c r="F11" s="135">
        <v>82000</v>
      </c>
      <c r="G11" s="136"/>
      <c r="H11" s="134"/>
      <c r="I11" s="135"/>
      <c r="J11" s="135"/>
      <c r="K11" s="131"/>
      <c r="L11" s="130">
        <f t="shared" si="4"/>
        <v>82000</v>
      </c>
      <c r="M11" s="135"/>
      <c r="N11" s="135"/>
      <c r="O11" s="137">
        <f t="shared" si="5"/>
        <v>0</v>
      </c>
      <c r="P11" s="137">
        <f t="shared" ref="P11:P19" si="6">IF((LEFT(B11,4)="1025"),F11*R11*DATEDIF(DATE(YEAR(Q11),MONTH(Q11)-1,DAY(Q11)),Q11,"d")/360,0)</f>
        <v>211.83333333333334</v>
      </c>
      <c r="Q11" s="129">
        <v>42696</v>
      </c>
      <c r="R11" s="187">
        <v>0.03</v>
      </c>
      <c r="S11" s="152" t="s">
        <v>380</v>
      </c>
    </row>
    <row r="12" spans="1:20" s="132" customFormat="1" ht="17.25" customHeight="1">
      <c r="A12" s="145">
        <f t="shared" si="3"/>
        <v>3</v>
      </c>
      <c r="B12" s="133" t="s">
        <v>379</v>
      </c>
      <c r="C12" s="134">
        <v>42660</v>
      </c>
      <c r="D12" s="134">
        <v>42842</v>
      </c>
      <c r="E12" s="136"/>
      <c r="F12" s="135">
        <v>96000</v>
      </c>
      <c r="G12" s="136"/>
      <c r="H12" s="134"/>
      <c r="I12" s="135"/>
      <c r="J12" s="135"/>
      <c r="K12" s="131"/>
      <c r="L12" s="130">
        <f t="shared" si="4"/>
        <v>96000</v>
      </c>
      <c r="M12" s="135"/>
      <c r="N12" s="135"/>
      <c r="O12" s="137">
        <f t="shared" si="5"/>
        <v>0</v>
      </c>
      <c r="P12" s="137">
        <f>IF((LEFT(B12,4)="1025"),F12*R12*DATEDIF(DATE(YEAR(Q12),MONTH(Q12)-1,DAY(Q12)),Q12,"d")/360,0)</f>
        <v>248</v>
      </c>
      <c r="Q12" s="129">
        <v>42696</v>
      </c>
      <c r="R12" s="187">
        <v>0.03</v>
      </c>
      <c r="S12" s="152" t="s">
        <v>381</v>
      </c>
    </row>
    <row r="13" spans="1:20" s="132" customFormat="1" ht="17.25" customHeight="1">
      <c r="A13" s="145">
        <f t="shared" si="3"/>
        <v>4</v>
      </c>
      <c r="B13" s="133" t="s">
        <v>378</v>
      </c>
      <c r="C13" s="134">
        <v>42649</v>
      </c>
      <c r="D13" s="134">
        <v>42831</v>
      </c>
      <c r="E13" s="136"/>
      <c r="F13" s="135">
        <v>96000</v>
      </c>
      <c r="G13" s="136"/>
      <c r="H13" s="134"/>
      <c r="I13" s="135"/>
      <c r="J13" s="135"/>
      <c r="K13" s="131"/>
      <c r="L13" s="130">
        <f t="shared" si="4"/>
        <v>96000</v>
      </c>
      <c r="M13" s="135"/>
      <c r="N13" s="135"/>
      <c r="O13" s="137">
        <f t="shared" si="5"/>
        <v>0</v>
      </c>
      <c r="P13" s="137">
        <f t="shared" si="6"/>
        <v>248</v>
      </c>
      <c r="Q13" s="129">
        <v>42696</v>
      </c>
      <c r="R13" s="187">
        <v>0.03</v>
      </c>
      <c r="S13" s="152" t="s">
        <v>381</v>
      </c>
      <c r="T13" s="191"/>
    </row>
    <row r="14" spans="1:20" s="147" customFormat="1" ht="17.25" customHeight="1">
      <c r="A14" s="145">
        <f t="shared" si="3"/>
        <v>5</v>
      </c>
      <c r="B14" s="133" t="s">
        <v>426</v>
      </c>
      <c r="C14" s="134">
        <v>42718</v>
      </c>
      <c r="D14" s="134">
        <v>42900</v>
      </c>
      <c r="E14" s="136"/>
      <c r="F14" s="135">
        <v>137000</v>
      </c>
      <c r="G14" s="136"/>
      <c r="H14" s="134"/>
      <c r="I14" s="135"/>
      <c r="J14" s="135"/>
      <c r="K14" s="130"/>
      <c r="L14" s="130">
        <f t="shared" si="4"/>
        <v>137000</v>
      </c>
      <c r="M14" s="135"/>
      <c r="N14" s="135"/>
      <c r="O14" s="137">
        <f t="shared" si="5"/>
        <v>0</v>
      </c>
      <c r="P14" s="137">
        <f t="shared" si="6"/>
        <v>353.91666666666669</v>
      </c>
      <c r="Q14" s="129">
        <v>42696</v>
      </c>
      <c r="R14" s="187">
        <v>0.03</v>
      </c>
      <c r="S14" s="138" t="s">
        <v>382</v>
      </c>
      <c r="T14" s="201">
        <f>E13*R13/12</f>
        <v>0</v>
      </c>
    </row>
    <row r="15" spans="1:20" s="132" customFormat="1" ht="17.25" customHeight="1">
      <c r="A15" s="145">
        <f t="shared" si="3"/>
        <v>6</v>
      </c>
      <c r="B15" s="133" t="s">
        <v>465</v>
      </c>
      <c r="C15" s="134">
        <v>42733</v>
      </c>
      <c r="D15" s="134">
        <v>42915</v>
      </c>
      <c r="E15" s="136"/>
      <c r="F15" s="135">
        <v>85000</v>
      </c>
      <c r="G15" s="136"/>
      <c r="H15" s="134"/>
      <c r="I15" s="135"/>
      <c r="J15" s="135"/>
      <c r="K15" s="130"/>
      <c r="L15" s="130">
        <f t="shared" si="4"/>
        <v>85000</v>
      </c>
      <c r="M15" s="135"/>
      <c r="N15" s="135"/>
      <c r="O15" s="137">
        <f t="shared" si="5"/>
        <v>0</v>
      </c>
      <c r="P15" s="137">
        <f t="shared" si="6"/>
        <v>219.58333333333334</v>
      </c>
      <c r="Q15" s="129">
        <v>42696</v>
      </c>
      <c r="R15" s="187">
        <v>0.03</v>
      </c>
      <c r="S15" s="138" t="s">
        <v>382</v>
      </c>
      <c r="T15" s="191"/>
    </row>
    <row r="16" spans="1:20" s="132" customFormat="1" ht="17.25" customHeight="1">
      <c r="A16" s="145">
        <f t="shared" si="3"/>
        <v>7</v>
      </c>
      <c r="B16" s="133" t="s">
        <v>484</v>
      </c>
      <c r="C16" s="134">
        <v>42741</v>
      </c>
      <c r="D16" s="134">
        <v>42922</v>
      </c>
      <c r="E16" s="136"/>
      <c r="F16" s="135">
        <v>93000</v>
      </c>
      <c r="G16" s="136"/>
      <c r="H16" s="134"/>
      <c r="I16" s="135"/>
      <c r="J16" s="135"/>
      <c r="K16" s="130"/>
      <c r="L16" s="130">
        <f t="shared" si="4"/>
        <v>93000</v>
      </c>
      <c r="M16" s="135"/>
      <c r="N16" s="135"/>
      <c r="O16" s="137">
        <f t="shared" si="5"/>
        <v>0</v>
      </c>
      <c r="P16" s="137">
        <f t="shared" si="6"/>
        <v>240.25</v>
      </c>
      <c r="Q16" s="129">
        <v>42696</v>
      </c>
      <c r="R16" s="187">
        <v>0.03</v>
      </c>
      <c r="S16" s="152" t="s">
        <v>380</v>
      </c>
      <c r="T16" s="191"/>
    </row>
    <row r="17" spans="1:20" s="132" customFormat="1" ht="17.25" customHeight="1">
      <c r="A17" s="145">
        <f t="shared" si="3"/>
        <v>8</v>
      </c>
      <c r="B17" s="133" t="s">
        <v>301</v>
      </c>
      <c r="C17" s="162">
        <v>42600</v>
      </c>
      <c r="D17" s="134">
        <v>42784</v>
      </c>
      <c r="E17" s="136"/>
      <c r="F17" s="163">
        <v>63000</v>
      </c>
      <c r="G17" s="136"/>
      <c r="H17" s="162"/>
      <c r="I17" s="163"/>
      <c r="J17" s="163"/>
      <c r="K17" s="130"/>
      <c r="L17" s="130">
        <f t="shared" si="4"/>
        <v>63000</v>
      </c>
      <c r="M17" s="163"/>
      <c r="N17" s="163"/>
      <c r="O17" s="137">
        <f t="shared" si="5"/>
        <v>0</v>
      </c>
      <c r="P17" s="137">
        <f t="shared" si="6"/>
        <v>162.75</v>
      </c>
      <c r="Q17" s="129">
        <v>42696</v>
      </c>
      <c r="R17" s="187">
        <v>0.03</v>
      </c>
      <c r="S17" s="152" t="s">
        <v>380</v>
      </c>
      <c r="T17" s="191"/>
    </row>
    <row r="18" spans="1:20" s="132" customFormat="1" ht="17.25" customHeight="1">
      <c r="A18" s="145">
        <f t="shared" si="3"/>
        <v>9</v>
      </c>
      <c r="B18" s="133" t="s">
        <v>306</v>
      </c>
      <c r="C18" s="162">
        <v>42612</v>
      </c>
      <c r="D18" s="134">
        <v>42794</v>
      </c>
      <c r="E18" s="164"/>
      <c r="F18" s="163">
        <v>89500</v>
      </c>
      <c r="G18" s="136"/>
      <c r="H18" s="162"/>
      <c r="I18" s="163"/>
      <c r="J18" s="163"/>
      <c r="K18" s="130"/>
      <c r="L18" s="130">
        <f t="shared" si="4"/>
        <v>89500</v>
      </c>
      <c r="M18" s="163"/>
      <c r="N18" s="163"/>
      <c r="O18" s="137">
        <f t="shared" si="5"/>
        <v>0</v>
      </c>
      <c r="P18" s="137">
        <f t="shared" si="6"/>
        <v>231.20833333333334</v>
      </c>
      <c r="Q18" s="129">
        <v>42696</v>
      </c>
      <c r="R18" s="187">
        <v>0.03</v>
      </c>
      <c r="S18" s="152" t="s">
        <v>380</v>
      </c>
      <c r="T18" s="191"/>
    </row>
    <row r="19" spans="1:20" s="132" customFormat="1" ht="17.25" customHeight="1">
      <c r="A19" s="145">
        <f t="shared" si="3"/>
        <v>10</v>
      </c>
      <c r="B19" s="133" t="s">
        <v>314</v>
      </c>
      <c r="C19" s="162">
        <v>42626</v>
      </c>
      <c r="D19" s="134">
        <v>42807</v>
      </c>
      <c r="E19" s="164"/>
      <c r="F19" s="163">
        <v>88000</v>
      </c>
      <c r="G19" s="136"/>
      <c r="H19" s="162"/>
      <c r="I19" s="163"/>
      <c r="J19" s="163"/>
      <c r="K19" s="131"/>
      <c r="L19" s="130">
        <f t="shared" si="4"/>
        <v>88000</v>
      </c>
      <c r="M19" s="163"/>
      <c r="N19" s="164">
        <f>P19*G19</f>
        <v>0</v>
      </c>
      <c r="O19" s="137">
        <f t="shared" si="5"/>
        <v>0</v>
      </c>
      <c r="P19" s="137">
        <f t="shared" si="6"/>
        <v>227.33333333333334</v>
      </c>
      <c r="Q19" s="129">
        <v>42696</v>
      </c>
      <c r="R19" s="187">
        <v>0.03</v>
      </c>
      <c r="S19" s="152" t="s">
        <v>380</v>
      </c>
    </row>
    <row r="20" spans="1:20" s="132" customFormat="1" ht="17.25" customHeight="1">
      <c r="A20" s="145">
        <f t="shared" si="3"/>
        <v>11</v>
      </c>
      <c r="B20" s="133"/>
      <c r="C20" s="162">
        <v>42754</v>
      </c>
      <c r="D20" s="134"/>
      <c r="E20" s="164"/>
      <c r="F20" s="163">
        <v>51100</v>
      </c>
      <c r="G20" s="164"/>
      <c r="H20" s="162"/>
      <c r="I20" s="163"/>
      <c r="J20" s="163"/>
      <c r="K20" s="131"/>
      <c r="L20" s="130">
        <f t="shared" si="4"/>
        <v>51100</v>
      </c>
      <c r="M20" s="163"/>
      <c r="N20" s="164"/>
      <c r="O20" s="137"/>
      <c r="P20" s="137"/>
      <c r="Q20" s="129"/>
      <c r="R20" s="187"/>
      <c r="S20" s="152"/>
    </row>
    <row r="21" spans="1:20" s="132" customFormat="1" ht="17.25" customHeight="1">
      <c r="A21" s="145"/>
      <c r="B21" s="133"/>
      <c r="C21" s="162"/>
      <c r="D21" s="134"/>
      <c r="E21" s="163"/>
      <c r="F21" s="163"/>
      <c r="G21" s="164"/>
      <c r="H21" s="162"/>
      <c r="I21" s="163"/>
      <c r="J21" s="163"/>
      <c r="K21" s="130"/>
      <c r="L21" s="130"/>
      <c r="M21" s="163"/>
      <c r="N21" s="163"/>
      <c r="O21" s="135"/>
      <c r="P21" s="135"/>
      <c r="Q21" s="129"/>
      <c r="R21" s="187"/>
      <c r="S21" s="152"/>
    </row>
    <row r="22" spans="1:20" s="168" customFormat="1" ht="17.25" customHeight="1">
      <c r="A22" s="252" t="s">
        <v>305</v>
      </c>
      <c r="B22" s="252"/>
      <c r="C22" s="165"/>
      <c r="D22" s="165"/>
      <c r="E22" s="140">
        <f>SUM(E4:E21)</f>
        <v>0</v>
      </c>
      <c r="F22" s="141">
        <f>SUM(F10:F21)</f>
        <v>969600</v>
      </c>
      <c r="G22" s="140">
        <f>SUM(G4:G16)</f>
        <v>0</v>
      </c>
      <c r="H22" s="139"/>
      <c r="I22" s="141">
        <f>SUM(I10:I21)</f>
        <v>0</v>
      </c>
      <c r="J22" s="141">
        <f>SUM(J10:J21)</f>
        <v>0</v>
      </c>
      <c r="K22" s="141">
        <f>SUM(K10:K21)</f>
        <v>0</v>
      </c>
      <c r="L22" s="141">
        <f>SUM(L10:L21)</f>
        <v>969600</v>
      </c>
      <c r="M22" s="141">
        <f>SUM(M4:M14)</f>
        <v>0</v>
      </c>
      <c r="N22" s="141"/>
      <c r="O22" s="141">
        <f>SUM(O10:O21)</f>
        <v>0</v>
      </c>
      <c r="P22" s="141">
        <f>SUM(P10:P21)</f>
        <v>2372.791666666667</v>
      </c>
      <c r="Q22" s="166"/>
      <c r="R22" s="167"/>
      <c r="S22" s="143"/>
    </row>
    <row r="23" spans="1:20" s="147" customFormat="1" ht="17.25" customHeight="1">
      <c r="A23" s="145">
        <f>ROW()-22</f>
        <v>1</v>
      </c>
      <c r="B23" s="148" t="s">
        <v>280</v>
      </c>
      <c r="C23" s="149">
        <v>41870</v>
      </c>
      <c r="D23" s="149">
        <v>46253</v>
      </c>
      <c r="E23" s="150">
        <f>'01-17'!K28</f>
        <v>958300000</v>
      </c>
      <c r="F23" s="137"/>
      <c r="G23" s="150"/>
      <c r="H23" s="149">
        <v>42785</v>
      </c>
      <c r="I23" s="150">
        <v>8340000</v>
      </c>
      <c r="J23" s="137"/>
      <c r="K23" s="150">
        <f t="shared" ref="K23:K37" si="7">E23-I23</f>
        <v>949960000</v>
      </c>
      <c r="L23" s="137"/>
      <c r="M23" s="150">
        <f>IF((LEFT(B23,4)="1402"),E23*R23*DATEDIF(DATE(YEAR(Q23),MONTH(Q23)-1,IF(MONTH(C23)=(MONTH(Q23)-1),DAY(C23),16)),Q23,"d")/360,0)</f>
        <v>8145550</v>
      </c>
      <c r="N23" s="137"/>
      <c r="O23" s="137">
        <f>IF((LEFT(B23,4)="1402"),F23*R23*DATEDIF(DATE(YEAR(Q23),MONTH(Q23)-1,IF(MONTH(C23)=(MONTH(Q23)-1),DAY(C23),16)),Q23,"d")/360,0)</f>
        <v>0</v>
      </c>
      <c r="P23" s="137">
        <f t="shared" ref="P23:P37" si="8">IF((LEFT(B23,4)="1015"),F23*R23*DATEDIF(Q23,Q$1,"d")/360,0)</f>
        <v>0</v>
      </c>
      <c r="Q23" s="189">
        <v>42785</v>
      </c>
      <c r="R23" s="188">
        <v>0.09</v>
      </c>
      <c r="S23" s="170" t="s">
        <v>281</v>
      </c>
    </row>
    <row r="24" spans="1:20" s="147" customFormat="1" ht="17.25" customHeight="1">
      <c r="A24" s="145">
        <f t="shared" ref="A24:A37" si="9">ROW()-22</f>
        <v>2</v>
      </c>
      <c r="B24" s="148" t="s">
        <v>282</v>
      </c>
      <c r="C24" s="149">
        <v>41905</v>
      </c>
      <c r="D24" s="149">
        <v>46253</v>
      </c>
      <c r="E24" s="150">
        <f>'01-17'!K29</f>
        <v>1916650000</v>
      </c>
      <c r="F24" s="137"/>
      <c r="G24" s="150"/>
      <c r="H24" s="149">
        <v>42785</v>
      </c>
      <c r="I24" s="150">
        <v>16670000</v>
      </c>
      <c r="J24" s="137"/>
      <c r="K24" s="150">
        <f t="shared" si="7"/>
        <v>1899980000</v>
      </c>
      <c r="L24" s="137"/>
      <c r="M24" s="150">
        <f t="shared" ref="M24:M36" si="10">IF((LEFT(B24,4)="1402"),E24*R24*DATEDIF(DATE(YEAR(Q24),MONTH(Q24)-1,IF(MONTH(C24)=(MONTH(Q24)-1),DAY(C24),16)),Q24,"d")/360,0)</f>
        <v>16291525</v>
      </c>
      <c r="N24" s="137"/>
      <c r="O24" s="137">
        <f t="shared" ref="O24:O37" si="11">IF((LEFT(B24,4)="1402"),F24*R24*DATEDIF(DATE(YEAR(Q24),MONTH(Q24)-1,IF(MONTH(C24)=(MONTH(Q24)-1),DAY(C24),16)),Q24,"d")/360,0)</f>
        <v>0</v>
      </c>
      <c r="P24" s="137">
        <f t="shared" si="8"/>
        <v>0</v>
      </c>
      <c r="Q24" s="189">
        <v>42785</v>
      </c>
      <c r="R24" s="188">
        <v>0.09</v>
      </c>
      <c r="S24" s="152" t="s">
        <v>281</v>
      </c>
    </row>
    <row r="25" spans="1:20" s="147" customFormat="1" ht="17.25" customHeight="1">
      <c r="A25" s="145">
        <f t="shared" si="9"/>
        <v>3</v>
      </c>
      <c r="B25" s="148" t="s">
        <v>283</v>
      </c>
      <c r="C25" s="171">
        <v>41934</v>
      </c>
      <c r="D25" s="149">
        <v>46253</v>
      </c>
      <c r="E25" s="150">
        <f>'01-17'!K30</f>
        <v>1533300000</v>
      </c>
      <c r="F25" s="173"/>
      <c r="G25" s="172"/>
      <c r="H25" s="149">
        <v>42785</v>
      </c>
      <c r="I25" s="172">
        <v>13340000</v>
      </c>
      <c r="J25" s="173"/>
      <c r="K25" s="150">
        <f t="shared" si="7"/>
        <v>1519960000</v>
      </c>
      <c r="L25" s="173"/>
      <c r="M25" s="150">
        <f t="shared" si="10"/>
        <v>13033050</v>
      </c>
      <c r="N25" s="173"/>
      <c r="O25" s="137">
        <f t="shared" si="11"/>
        <v>0</v>
      </c>
      <c r="P25" s="137">
        <f t="shared" si="8"/>
        <v>0</v>
      </c>
      <c r="Q25" s="189">
        <v>42785</v>
      </c>
      <c r="R25" s="188">
        <v>0.09</v>
      </c>
      <c r="S25" s="152" t="s">
        <v>281</v>
      </c>
    </row>
    <row r="26" spans="1:20" s="147" customFormat="1" ht="17.25" customHeight="1">
      <c r="A26" s="145">
        <f t="shared" si="9"/>
        <v>4</v>
      </c>
      <c r="B26" s="148" t="s">
        <v>284</v>
      </c>
      <c r="C26" s="171">
        <v>41963</v>
      </c>
      <c r="D26" s="149">
        <v>46253</v>
      </c>
      <c r="E26" s="150">
        <f>'01-17'!K31</f>
        <v>1462500000</v>
      </c>
      <c r="F26" s="173"/>
      <c r="G26" s="172"/>
      <c r="H26" s="149">
        <v>42785</v>
      </c>
      <c r="I26" s="172">
        <v>12500000</v>
      </c>
      <c r="J26" s="173"/>
      <c r="K26" s="150">
        <f t="shared" si="7"/>
        <v>1450000000</v>
      </c>
      <c r="L26" s="173"/>
      <c r="M26" s="150">
        <f t="shared" si="10"/>
        <v>12431250</v>
      </c>
      <c r="N26" s="173"/>
      <c r="O26" s="137">
        <f t="shared" si="11"/>
        <v>0</v>
      </c>
      <c r="P26" s="137">
        <f t="shared" si="8"/>
        <v>0</v>
      </c>
      <c r="Q26" s="189">
        <v>42785</v>
      </c>
      <c r="R26" s="188">
        <v>0.09</v>
      </c>
      <c r="S26" s="152" t="s">
        <v>281</v>
      </c>
    </row>
    <row r="27" spans="1:20" s="147" customFormat="1" ht="17.25" customHeight="1">
      <c r="A27" s="145">
        <f t="shared" si="9"/>
        <v>5</v>
      </c>
      <c r="B27" s="148" t="s">
        <v>285</v>
      </c>
      <c r="C27" s="171">
        <v>41984</v>
      </c>
      <c r="D27" s="149">
        <v>46253</v>
      </c>
      <c r="E27" s="150">
        <f>'01-17'!K32</f>
        <v>958350000</v>
      </c>
      <c r="F27" s="173"/>
      <c r="G27" s="172"/>
      <c r="H27" s="149">
        <v>42785</v>
      </c>
      <c r="I27" s="172">
        <v>8330000</v>
      </c>
      <c r="J27" s="173"/>
      <c r="K27" s="172">
        <f t="shared" si="7"/>
        <v>950020000</v>
      </c>
      <c r="L27" s="173"/>
      <c r="M27" s="150">
        <f t="shared" si="10"/>
        <v>8145975</v>
      </c>
      <c r="N27" s="173"/>
      <c r="O27" s="137">
        <f t="shared" si="11"/>
        <v>0</v>
      </c>
      <c r="P27" s="137">
        <f t="shared" si="8"/>
        <v>0</v>
      </c>
      <c r="Q27" s="189">
        <v>42785</v>
      </c>
      <c r="R27" s="188">
        <v>0.09</v>
      </c>
      <c r="S27" s="152" t="s">
        <v>281</v>
      </c>
    </row>
    <row r="28" spans="1:20" s="147" customFormat="1" ht="17.25" customHeight="1">
      <c r="A28" s="145">
        <f t="shared" si="9"/>
        <v>6</v>
      </c>
      <c r="B28" s="148" t="s">
        <v>286</v>
      </c>
      <c r="C28" s="171">
        <v>42033</v>
      </c>
      <c r="D28" s="149">
        <v>46253</v>
      </c>
      <c r="E28" s="150">
        <f>'01-17'!K33</f>
        <v>1437500000</v>
      </c>
      <c r="F28" s="173"/>
      <c r="G28" s="172"/>
      <c r="H28" s="149">
        <v>42785</v>
      </c>
      <c r="I28" s="172">
        <v>12500000</v>
      </c>
      <c r="J28" s="173"/>
      <c r="K28" s="172">
        <f t="shared" si="7"/>
        <v>1425000000</v>
      </c>
      <c r="L28" s="173"/>
      <c r="M28" s="150">
        <f t="shared" si="10"/>
        <v>7546875</v>
      </c>
      <c r="N28" s="173"/>
      <c r="O28" s="137">
        <f t="shared" si="11"/>
        <v>0</v>
      </c>
      <c r="P28" s="137">
        <f t="shared" si="8"/>
        <v>0</v>
      </c>
      <c r="Q28" s="189">
        <v>42785</v>
      </c>
      <c r="R28" s="188">
        <v>0.09</v>
      </c>
      <c r="S28" s="152" t="s">
        <v>281</v>
      </c>
    </row>
    <row r="29" spans="1:20" s="147" customFormat="1" ht="17.25" customHeight="1">
      <c r="A29" s="145">
        <f t="shared" si="9"/>
        <v>7</v>
      </c>
      <c r="B29" s="148" t="s">
        <v>287</v>
      </c>
      <c r="C29" s="171">
        <v>42088</v>
      </c>
      <c r="D29" s="149">
        <v>46253</v>
      </c>
      <c r="E29" s="150">
        <f>'01-17'!K34</f>
        <v>1916650000</v>
      </c>
      <c r="F29" s="173"/>
      <c r="G29" s="172"/>
      <c r="H29" s="149">
        <v>42785</v>
      </c>
      <c r="I29" s="172">
        <v>16670000</v>
      </c>
      <c r="J29" s="173"/>
      <c r="K29" s="172">
        <f t="shared" si="7"/>
        <v>1899980000</v>
      </c>
      <c r="L29" s="173"/>
      <c r="M29" s="150">
        <f t="shared" si="10"/>
        <v>16291525</v>
      </c>
      <c r="N29" s="173"/>
      <c r="O29" s="137">
        <f t="shared" si="11"/>
        <v>0</v>
      </c>
      <c r="P29" s="137">
        <f t="shared" si="8"/>
        <v>0</v>
      </c>
      <c r="Q29" s="189">
        <v>42785</v>
      </c>
      <c r="R29" s="188">
        <v>0.09</v>
      </c>
      <c r="S29" s="152" t="s">
        <v>281</v>
      </c>
    </row>
    <row r="30" spans="1:20" s="147" customFormat="1" ht="17.25" customHeight="1">
      <c r="A30" s="145">
        <f t="shared" si="9"/>
        <v>8</v>
      </c>
      <c r="B30" s="148" t="s">
        <v>288</v>
      </c>
      <c r="C30" s="171">
        <v>42114</v>
      </c>
      <c r="D30" s="149">
        <v>46253</v>
      </c>
      <c r="E30" s="150">
        <f>'01-17'!K35</f>
        <v>1341650000</v>
      </c>
      <c r="F30" s="173"/>
      <c r="G30" s="172"/>
      <c r="H30" s="149">
        <v>42785</v>
      </c>
      <c r="I30" s="172">
        <v>11670000</v>
      </c>
      <c r="J30" s="173"/>
      <c r="K30" s="172">
        <f t="shared" si="7"/>
        <v>1329980000</v>
      </c>
      <c r="L30" s="173"/>
      <c r="M30" s="150">
        <f t="shared" si="10"/>
        <v>11404025</v>
      </c>
      <c r="N30" s="173"/>
      <c r="O30" s="137">
        <f t="shared" si="11"/>
        <v>0</v>
      </c>
      <c r="P30" s="137">
        <f t="shared" si="8"/>
        <v>0</v>
      </c>
      <c r="Q30" s="189">
        <v>42785</v>
      </c>
      <c r="R30" s="188">
        <v>0.09</v>
      </c>
      <c r="S30" s="152" t="s">
        <v>281</v>
      </c>
    </row>
    <row r="31" spans="1:20" s="147" customFormat="1" ht="17.25" customHeight="1">
      <c r="A31" s="145">
        <f t="shared" si="9"/>
        <v>9</v>
      </c>
      <c r="B31" s="148" t="s">
        <v>289</v>
      </c>
      <c r="C31" s="171">
        <v>42138</v>
      </c>
      <c r="D31" s="149">
        <v>46253</v>
      </c>
      <c r="E31" s="150">
        <f>'01-17'!K36</f>
        <v>1437500000</v>
      </c>
      <c r="F31" s="173"/>
      <c r="G31" s="172"/>
      <c r="H31" s="149">
        <v>42785</v>
      </c>
      <c r="I31" s="172">
        <v>12500000</v>
      </c>
      <c r="J31" s="173"/>
      <c r="K31" s="172">
        <f t="shared" si="7"/>
        <v>1425000000</v>
      </c>
      <c r="L31" s="173"/>
      <c r="M31" s="150">
        <f t="shared" si="10"/>
        <v>12218750</v>
      </c>
      <c r="N31" s="173"/>
      <c r="O31" s="137">
        <f t="shared" si="11"/>
        <v>0</v>
      </c>
      <c r="P31" s="137">
        <f t="shared" si="8"/>
        <v>0</v>
      </c>
      <c r="Q31" s="189">
        <v>42785</v>
      </c>
      <c r="R31" s="188">
        <v>0.09</v>
      </c>
      <c r="S31" s="152" t="s">
        <v>281</v>
      </c>
    </row>
    <row r="32" spans="1:20" s="147" customFormat="1" ht="17.25" customHeight="1">
      <c r="A32" s="145">
        <f t="shared" si="9"/>
        <v>10</v>
      </c>
      <c r="B32" s="148" t="s">
        <v>290</v>
      </c>
      <c r="C32" s="171">
        <v>42164</v>
      </c>
      <c r="D32" s="149">
        <v>46253</v>
      </c>
      <c r="E32" s="150">
        <f>'01-17'!K37</f>
        <v>1437500000</v>
      </c>
      <c r="F32" s="173"/>
      <c r="G32" s="172"/>
      <c r="H32" s="149">
        <v>42785</v>
      </c>
      <c r="I32" s="172">
        <v>12500000</v>
      </c>
      <c r="J32" s="173"/>
      <c r="K32" s="172">
        <f t="shared" si="7"/>
        <v>1425000000</v>
      </c>
      <c r="L32" s="173"/>
      <c r="M32" s="150">
        <f t="shared" si="10"/>
        <v>12218750</v>
      </c>
      <c r="N32" s="173"/>
      <c r="O32" s="137">
        <f t="shared" si="11"/>
        <v>0</v>
      </c>
      <c r="P32" s="137">
        <f t="shared" si="8"/>
        <v>0</v>
      </c>
      <c r="Q32" s="189">
        <v>42785</v>
      </c>
      <c r="R32" s="188">
        <v>0.09</v>
      </c>
      <c r="S32" s="152" t="s">
        <v>281</v>
      </c>
    </row>
    <row r="33" spans="1:19" s="147" customFormat="1" ht="17.25" customHeight="1">
      <c r="A33" s="145">
        <f t="shared" si="9"/>
        <v>11</v>
      </c>
      <c r="B33" s="148" t="s">
        <v>291</v>
      </c>
      <c r="C33" s="171">
        <v>42187</v>
      </c>
      <c r="D33" s="149">
        <v>46253</v>
      </c>
      <c r="E33" s="150">
        <f>'01-17'!K38</f>
        <v>1437500000</v>
      </c>
      <c r="F33" s="173"/>
      <c r="G33" s="172"/>
      <c r="H33" s="149">
        <v>42785</v>
      </c>
      <c r="I33" s="172">
        <v>12500000</v>
      </c>
      <c r="J33" s="173"/>
      <c r="K33" s="172">
        <f t="shared" si="7"/>
        <v>1425000000</v>
      </c>
      <c r="L33" s="173"/>
      <c r="M33" s="150">
        <f t="shared" si="10"/>
        <v>12218750</v>
      </c>
      <c r="N33" s="173"/>
      <c r="O33" s="137">
        <f t="shared" si="11"/>
        <v>0</v>
      </c>
      <c r="P33" s="137">
        <f t="shared" si="8"/>
        <v>0</v>
      </c>
      <c r="Q33" s="189">
        <v>42785</v>
      </c>
      <c r="R33" s="188">
        <v>0.09</v>
      </c>
      <c r="S33" s="152" t="s">
        <v>281</v>
      </c>
    </row>
    <row r="34" spans="1:19" s="147" customFormat="1" ht="17.25" customHeight="1">
      <c r="A34" s="145">
        <f t="shared" si="9"/>
        <v>12</v>
      </c>
      <c r="B34" s="148" t="s">
        <v>292</v>
      </c>
      <c r="C34" s="171">
        <v>42195</v>
      </c>
      <c r="D34" s="149">
        <v>46253</v>
      </c>
      <c r="E34" s="150">
        <f>'01-17'!K39</f>
        <v>1437500000</v>
      </c>
      <c r="F34" s="173"/>
      <c r="G34" s="172"/>
      <c r="H34" s="149">
        <v>42785</v>
      </c>
      <c r="I34" s="172">
        <v>12500000</v>
      </c>
      <c r="J34" s="173"/>
      <c r="K34" s="172">
        <f t="shared" si="7"/>
        <v>1425000000</v>
      </c>
      <c r="L34" s="173"/>
      <c r="M34" s="150">
        <f t="shared" si="10"/>
        <v>12218750</v>
      </c>
      <c r="N34" s="173"/>
      <c r="O34" s="137">
        <f t="shared" si="11"/>
        <v>0</v>
      </c>
      <c r="P34" s="137">
        <f t="shared" si="8"/>
        <v>0</v>
      </c>
      <c r="Q34" s="189">
        <v>42785</v>
      </c>
      <c r="R34" s="188">
        <v>0.09</v>
      </c>
      <c r="S34" s="152" t="s">
        <v>281</v>
      </c>
    </row>
    <row r="35" spans="1:19" s="147" customFormat="1" ht="17.25" customHeight="1">
      <c r="A35" s="145">
        <f t="shared" si="9"/>
        <v>13</v>
      </c>
      <c r="B35" s="148" t="s">
        <v>293</v>
      </c>
      <c r="C35" s="171">
        <v>42215</v>
      </c>
      <c r="D35" s="149">
        <v>46253</v>
      </c>
      <c r="E35" s="150">
        <f>'01-17'!K40</f>
        <v>958310000</v>
      </c>
      <c r="F35" s="173"/>
      <c r="G35" s="172"/>
      <c r="H35" s="149">
        <v>42785</v>
      </c>
      <c r="I35" s="172">
        <v>8330000</v>
      </c>
      <c r="J35" s="173"/>
      <c r="K35" s="172">
        <f t="shared" si="7"/>
        <v>949980000</v>
      </c>
      <c r="L35" s="173"/>
      <c r="M35" s="150">
        <f t="shared" si="10"/>
        <v>8145635</v>
      </c>
      <c r="N35" s="173"/>
      <c r="O35" s="137">
        <f t="shared" si="11"/>
        <v>0</v>
      </c>
      <c r="P35" s="137">
        <f t="shared" si="8"/>
        <v>0</v>
      </c>
      <c r="Q35" s="189">
        <v>42785</v>
      </c>
      <c r="R35" s="188">
        <v>0.09</v>
      </c>
      <c r="S35" s="152" t="s">
        <v>281</v>
      </c>
    </row>
    <row r="36" spans="1:19" s="147" customFormat="1" ht="17.25" customHeight="1">
      <c r="A36" s="145">
        <f t="shared" si="9"/>
        <v>14</v>
      </c>
      <c r="B36" s="148" t="s">
        <v>294</v>
      </c>
      <c r="C36" s="171">
        <v>42229</v>
      </c>
      <c r="D36" s="149">
        <v>46253</v>
      </c>
      <c r="E36" s="150">
        <f>'01-17'!K41</f>
        <v>958310000</v>
      </c>
      <c r="F36" s="173"/>
      <c r="G36" s="172"/>
      <c r="H36" s="149">
        <v>42785</v>
      </c>
      <c r="I36" s="172">
        <v>8330000</v>
      </c>
      <c r="J36" s="173"/>
      <c r="K36" s="172">
        <f t="shared" si="7"/>
        <v>949980000</v>
      </c>
      <c r="L36" s="173"/>
      <c r="M36" s="150">
        <f t="shared" si="10"/>
        <v>8145635</v>
      </c>
      <c r="N36" s="173"/>
      <c r="O36" s="137">
        <f t="shared" si="11"/>
        <v>0</v>
      </c>
      <c r="P36" s="137">
        <f t="shared" si="8"/>
        <v>0</v>
      </c>
      <c r="Q36" s="189">
        <v>42785</v>
      </c>
      <c r="R36" s="188">
        <v>0.09</v>
      </c>
      <c r="S36" s="152" t="s">
        <v>281</v>
      </c>
    </row>
    <row r="37" spans="1:19" s="147" customFormat="1" ht="17.25" customHeight="1">
      <c r="A37" s="145">
        <f t="shared" si="9"/>
        <v>15</v>
      </c>
      <c r="B37" s="148" t="s">
        <v>429</v>
      </c>
      <c r="C37" s="171">
        <v>42730</v>
      </c>
      <c r="D37" s="171">
        <v>42851</v>
      </c>
      <c r="E37" s="172"/>
      <c r="F37" s="173">
        <v>87000</v>
      </c>
      <c r="G37" s="172"/>
      <c r="H37" s="171"/>
      <c r="I37" s="172"/>
      <c r="J37" s="173"/>
      <c r="K37" s="172">
        <f t="shared" si="7"/>
        <v>0</v>
      </c>
      <c r="L37" s="173">
        <f>F37</f>
        <v>87000</v>
      </c>
      <c r="M37" s="150"/>
      <c r="N37" s="173"/>
      <c r="O37" s="137">
        <f t="shared" si="11"/>
        <v>205.41666666666666</v>
      </c>
      <c r="P37" s="137">
        <f t="shared" si="8"/>
        <v>0</v>
      </c>
      <c r="Q37" s="189">
        <v>42785</v>
      </c>
      <c r="R37" s="188">
        <v>2.5000000000000001E-2</v>
      </c>
      <c r="S37" s="152"/>
    </row>
    <row r="38" spans="1:19" s="147" customFormat="1" ht="17.25" hidden="1" customHeight="1">
      <c r="A38" s="145"/>
      <c r="B38" s="148"/>
      <c r="C38" s="171"/>
      <c r="D38" s="171"/>
      <c r="E38" s="172"/>
      <c r="F38" s="173"/>
      <c r="G38" s="172"/>
      <c r="H38" s="171"/>
      <c r="I38" s="172"/>
      <c r="J38" s="173"/>
      <c r="K38" s="172"/>
      <c r="L38" s="173"/>
      <c r="M38" s="172"/>
      <c r="N38" s="173"/>
      <c r="O38" s="173"/>
      <c r="P38" s="173"/>
      <c r="Q38" s="169"/>
      <c r="R38" s="151"/>
      <c r="S38" s="152"/>
    </row>
    <row r="39" spans="1:19" s="132" customFormat="1" ht="17.25" customHeight="1">
      <c r="A39" s="128"/>
      <c r="B39" s="133"/>
      <c r="C39" s="162"/>
      <c r="D39" s="162"/>
      <c r="E39" s="164"/>
      <c r="F39" s="163"/>
      <c r="G39" s="164"/>
      <c r="H39" s="162"/>
      <c r="I39" s="164"/>
      <c r="J39" s="163"/>
      <c r="K39" s="164"/>
      <c r="L39" s="163"/>
      <c r="M39" s="164"/>
      <c r="N39" s="163"/>
      <c r="O39" s="163"/>
      <c r="P39" s="163"/>
      <c r="Q39" s="129"/>
      <c r="R39" s="161"/>
      <c r="S39" s="138"/>
    </row>
    <row r="40" spans="1:19" s="168" customFormat="1" ht="17.25" customHeight="1">
      <c r="A40" s="252" t="s">
        <v>295</v>
      </c>
      <c r="B40" s="252"/>
      <c r="C40" s="165"/>
      <c r="D40" s="165"/>
      <c r="E40" s="140">
        <f>SUM(E23:E39)</f>
        <v>19191520000</v>
      </c>
      <c r="F40" s="141">
        <f>SUM(F23:F39)</f>
        <v>87000</v>
      </c>
      <c r="G40" s="140">
        <f>SUM(G23:G39)</f>
        <v>0</v>
      </c>
      <c r="H40" s="141"/>
      <c r="I40" s="140">
        <f t="shared" ref="I40:P40" si="12">SUM(I23:I39)</f>
        <v>166680000</v>
      </c>
      <c r="J40" s="141">
        <f t="shared" si="12"/>
        <v>0</v>
      </c>
      <c r="K40" s="140">
        <f t="shared" si="12"/>
        <v>19024840000</v>
      </c>
      <c r="L40" s="141">
        <f t="shared" si="12"/>
        <v>87000</v>
      </c>
      <c r="M40" s="140">
        <f t="shared" si="12"/>
        <v>158456045</v>
      </c>
      <c r="N40" s="141">
        <f t="shared" si="12"/>
        <v>0</v>
      </c>
      <c r="O40" s="141">
        <f t="shared" si="12"/>
        <v>205.41666666666666</v>
      </c>
      <c r="P40" s="141">
        <f t="shared" si="12"/>
        <v>0</v>
      </c>
      <c r="Q40" s="166"/>
      <c r="R40" s="167"/>
      <c r="S40" s="143"/>
    </row>
    <row r="41" spans="1:19" ht="17.25" customHeight="1">
      <c r="F41" s="178"/>
    </row>
    <row r="42" spans="1:19" ht="17.25" customHeight="1">
      <c r="F42" s="175"/>
    </row>
    <row r="43" spans="1:19" ht="17.25" customHeight="1">
      <c r="F43" s="175"/>
    </row>
    <row r="44" spans="1:19" ht="17.25" customHeight="1">
      <c r="F44" s="175"/>
    </row>
    <row r="46" spans="1:19" ht="17.25" customHeight="1">
      <c r="F46" s="178"/>
    </row>
    <row r="54" spans="1:19" s="183" customFormat="1" ht="17.25" customHeight="1">
      <c r="A54" s="174"/>
      <c r="B54" s="175"/>
      <c r="C54" s="176"/>
      <c r="D54" s="176"/>
      <c r="E54" s="177"/>
      <c r="F54" s="181"/>
      <c r="G54" s="177"/>
      <c r="H54" s="179"/>
      <c r="I54" s="180"/>
      <c r="J54" s="180"/>
      <c r="K54" s="177"/>
      <c r="L54" s="181"/>
      <c r="M54" s="185"/>
      <c r="N54" s="185"/>
      <c r="O54" s="185"/>
      <c r="Q54" s="184"/>
      <c r="R54" s="184"/>
      <c r="S54" s="174"/>
    </row>
  </sheetData>
  <autoFilter ref="A3:S22"/>
  <mergeCells count="12">
    <mergeCell ref="A40:B40"/>
    <mergeCell ref="A2:A3"/>
    <mergeCell ref="B2:B3"/>
    <mergeCell ref="C2:D2"/>
    <mergeCell ref="E2:G2"/>
    <mergeCell ref="M2:Q2"/>
    <mergeCell ref="R2:R3"/>
    <mergeCell ref="S2:S3"/>
    <mergeCell ref="A9:B9"/>
    <mergeCell ref="A22:B22"/>
    <mergeCell ref="H2:J2"/>
    <mergeCell ref="K2:L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TH</vt:lpstr>
      <vt:lpstr>UNC - EIB</vt:lpstr>
      <vt:lpstr>UNC - PV</vt:lpstr>
      <vt:lpstr>LC - PV</vt:lpstr>
      <vt:lpstr>LC - EIB</vt:lpstr>
      <vt:lpstr>MAU</vt:lpstr>
      <vt:lpstr>U&amp;P</vt:lpstr>
      <vt:lpstr>01-17</vt:lpstr>
      <vt:lpstr>02-17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'01-17'!Print_Titles</vt:lpstr>
      <vt:lpstr>'02-17'!Print_Titles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2017-03-14T06:13:54Z</cp:lastPrinted>
  <dcterms:created xsi:type="dcterms:W3CDTF">2016-07-02T08:51:17Z</dcterms:created>
  <dcterms:modified xsi:type="dcterms:W3CDTF">2017-03-14T06:18:08Z</dcterms:modified>
</cp:coreProperties>
</file>